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PTC\iDrive\Data\QMS - Quality Assurance\Conflict Minerals Report\"/>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16838" windowHeight="10935"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5" l="1"/>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J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s="1"/>
  <c r="V7" i="5"/>
  <c r="H7" i="5" s="1"/>
  <c r="E7" i="5"/>
  <c r="V8" i="5"/>
  <c r="E8" i="5"/>
  <c r="V9" i="5"/>
  <c r="E9" i="5"/>
  <c r="X9" i="5" s="1"/>
  <c r="V10" i="5"/>
  <c r="E10" i="5" s="1"/>
  <c r="V11" i="5"/>
  <c r="E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 i="5"/>
  <c r="G9" i="5"/>
  <c r="G10"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H22" i="6" s="1"/>
  <c r="D22" i="6" s="1"/>
  <c r="B16" i="6"/>
  <c r="B15" i="6"/>
  <c r="G15" i="6" s="1"/>
  <c r="H15" i="6" s="1"/>
  <c r="B14" i="6"/>
  <c r="G14" i="6"/>
  <c r="H14" i="6" s="1"/>
  <c r="H13" i="6"/>
  <c r="B12" i="6"/>
  <c r="G12" i="6"/>
  <c r="H12" i="6" s="1"/>
  <c r="D12" i="6" s="1"/>
  <c r="B11" i="6"/>
  <c r="G11" i="6" s="1"/>
  <c r="H11" i="6" s="1"/>
  <c r="D11" i="6" s="1"/>
  <c r="G10" i="6"/>
  <c r="H10" i="6"/>
  <c r="D10" i="6" s="1"/>
  <c r="G9" i="6"/>
  <c r="H9" i="6" s="1"/>
  <c r="D9" i="6" s="1"/>
  <c r="B8" i="6"/>
  <c r="G8" i="6"/>
  <c r="H8" i="6" s="1"/>
  <c r="D8" i="6" s="1"/>
  <c r="B7" i="6"/>
  <c r="G7" i="6" s="1"/>
  <c r="H7" i="6" s="1"/>
  <c r="D7" i="6" s="1"/>
  <c r="B6" i="6"/>
  <c r="G6" i="6" s="1"/>
  <c r="B5" i="6"/>
  <c r="F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H5" i="5"/>
  <c r="B90" i="4"/>
  <c r="H67" i="4"/>
  <c r="P47" i="4"/>
  <c r="P46" i="4"/>
  <c r="P45" i="4"/>
  <c r="P44" i="4"/>
  <c r="B44" i="4" s="1"/>
  <c r="A29" i="6" s="1"/>
  <c r="P43" i="4"/>
  <c r="Q43" i="4" s="1"/>
  <c r="P41" i="4"/>
  <c r="P40" i="4"/>
  <c r="B40" i="4" s="1"/>
  <c r="P39" i="4"/>
  <c r="P38" i="4"/>
  <c r="P37" i="4"/>
  <c r="Q37" i="4" s="1"/>
  <c r="P35" i="4"/>
  <c r="P34" i="4"/>
  <c r="P33" i="4"/>
  <c r="P32" i="4"/>
  <c r="P31" i="4"/>
  <c r="Q31" i="4" s="1"/>
  <c r="P29" i="4"/>
  <c r="P28" i="4"/>
  <c r="P27" i="4"/>
  <c r="P26" i="4"/>
  <c r="B26" i="4"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H31" i="6" s="1"/>
  <c r="D31" i="6" s="1"/>
  <c r="B52" i="6"/>
  <c r="G52" i="6" s="1"/>
  <c r="B37" i="6"/>
  <c r="G37" i="6" s="1"/>
  <c r="B42" i="6"/>
  <c r="G42" i="6" s="1"/>
  <c r="B39" i="6"/>
  <c r="G39" i="6"/>
  <c r="F24" i="6"/>
  <c r="B44" i="6"/>
  <c r="G44" i="6" s="1"/>
  <c r="B49" i="6"/>
  <c r="G49" i="6"/>
  <c r="B34" i="6"/>
  <c r="G34" i="6"/>
  <c r="H34" i="6" s="1"/>
  <c r="D34" i="6" s="1"/>
  <c r="B29" i="6"/>
  <c r="G29" i="6"/>
  <c r="B24" i="6"/>
  <c r="G24" i="6"/>
  <c r="G19" i="6"/>
  <c r="H19" i="6"/>
  <c r="F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D26" i="6" s="1"/>
  <c r="G21" i="6"/>
  <c r="H21" i="6"/>
  <c r="D21" i="6" s="1"/>
  <c r="B36" i="6"/>
  <c r="G36"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46" i="6"/>
  <c r="F36" i="6"/>
  <c r="H36" i="6" s="1"/>
  <c r="D36"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H39" i="6" s="1"/>
  <c r="D39" i="6" s="1"/>
  <c r="F65" i="6"/>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296" i="5"/>
  <c r="S600" i="5"/>
  <c r="S382" i="5"/>
  <c r="S533" i="5"/>
  <c r="S355" i="5"/>
  <c r="S602" i="5"/>
  <c r="S603" i="5"/>
  <c r="X292" i="5"/>
  <c r="S605" i="5"/>
  <c r="S607" i="5"/>
  <c r="S314" i="5"/>
  <c r="H24" i="6"/>
  <c r="H46" i="6"/>
  <c r="AB12" i="5"/>
  <c r="AB9" i="5"/>
  <c r="AB10" i="5"/>
  <c r="AB14" i="5"/>
  <c r="AB17" i="5"/>
  <c r="AB16" i="5"/>
  <c r="AB8" i="5"/>
  <c r="AB13" i="5"/>
  <c r="AB15" i="5"/>
  <c r="AB11" i="5"/>
  <c r="AB7" i="5"/>
  <c r="H49" i="6"/>
  <c r="D49" i="6" s="1"/>
  <c r="D19" i="6"/>
  <c r="D24"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F7" i="5"/>
  <c r="I7" i="5"/>
  <c r="H17" i="5"/>
  <c r="I17" i="5"/>
  <c r="J17" i="5"/>
  <c r="R17" i="5"/>
  <c r="F17" i="5"/>
  <c r="I12" i="5"/>
  <c r="J12" i="5"/>
  <c r="R12" i="5"/>
  <c r="F12" i="5"/>
  <c r="H12" i="5"/>
  <c r="H9" i="5"/>
  <c r="J9" i="5"/>
  <c r="I9" i="5"/>
  <c r="R9" i="5"/>
  <c r="F9" i="5"/>
  <c r="R8" i="5"/>
  <c r="H8" i="5"/>
  <c r="J8" i="5"/>
  <c r="I8" i="5"/>
  <c r="F8" i="5"/>
  <c r="H15" i="5"/>
  <c r="J15" i="5"/>
  <c r="I15" i="5"/>
  <c r="F15" i="5"/>
  <c r="R15" i="5"/>
  <c r="I14" i="5"/>
  <c r="R14" i="5"/>
  <c r="J14" i="5"/>
  <c r="H14" i="5"/>
  <c r="F14" i="5"/>
  <c r="S17" i="5"/>
  <c r="S12" i="5"/>
  <c r="S16" i="5"/>
  <c r="S15" i="5"/>
  <c r="S13" i="5"/>
  <c r="S14" i="5"/>
  <c r="S7" i="5"/>
  <c r="G64" i="6" a="1"/>
  <c r="J6" i="5" l="1"/>
  <c r="F6" i="5"/>
  <c r="H6" i="5"/>
  <c r="R6" i="5"/>
  <c r="G68" i="6"/>
  <c r="G6" i="5"/>
  <c r="I11" i="5"/>
  <c r="G7" i="5"/>
  <c r="J7" i="5"/>
  <c r="R7" i="5"/>
  <c r="X11" i="5"/>
  <c r="F11" i="5"/>
  <c r="H11" i="5"/>
  <c r="J11" i="5"/>
  <c r="R11" i="5"/>
  <c r="G11" i="5"/>
  <c r="X10" i="5"/>
  <c r="X8" i="5"/>
  <c r="X7" i="5"/>
  <c r="G65" i="6"/>
  <c r="H65" i="6" s="1"/>
  <c r="G66" i="6"/>
  <c r="G67" i="6"/>
  <c r="H67" i="6" s="1"/>
  <c r="D67" i="6" s="1"/>
  <c r="X6" i="5"/>
  <c r="X5" i="5"/>
  <c r="C46" i="6"/>
  <c r="C21" i="6"/>
  <c r="D17" i="6"/>
  <c r="K68" i="6"/>
  <c r="B62" i="4"/>
  <c r="A44" i="6" s="1"/>
  <c r="F27" i="6"/>
  <c r="C17" i="6"/>
  <c r="B35" i="4"/>
  <c r="A22" i="6" s="1"/>
  <c r="C22" i="6"/>
  <c r="B64" i="4"/>
  <c r="A46" i="6" s="1"/>
  <c r="B58" i="4"/>
  <c r="A41" i="6" s="1"/>
  <c r="K67" i="6"/>
  <c r="D16" i="6"/>
  <c r="C31" i="6"/>
  <c r="D46" i="6"/>
  <c r="F41" i="6"/>
  <c r="H41" i="6" s="1"/>
  <c r="D41" i="6" s="1"/>
  <c r="C16" i="6"/>
  <c r="F51" i="6"/>
  <c r="H51" i="6" s="1"/>
  <c r="D51" i="6" s="1"/>
  <c r="C36" i="6"/>
  <c r="C26" i="6"/>
  <c r="D15" i="6"/>
  <c r="B89" i="4"/>
  <c r="A63" i="6" s="1"/>
  <c r="B87" i="4"/>
  <c r="A62" i="6" s="1"/>
  <c r="B31" i="4"/>
  <c r="A18" i="6" s="1"/>
  <c r="B37" i="4"/>
  <c r="A23" i="6" s="1"/>
  <c r="B49" i="4"/>
  <c r="A33" i="6" s="1"/>
  <c r="B67" i="4"/>
  <c r="A48" i="6" s="1"/>
  <c r="B43" i="4"/>
  <c r="A28" i="6" s="1"/>
  <c r="B77" i="4"/>
  <c r="A55" i="6" s="1"/>
  <c r="B61" i="4"/>
  <c r="A43" i="6" s="1"/>
  <c r="B83" i="4"/>
  <c r="A59" i="6" s="1"/>
  <c r="B75" i="4"/>
  <c r="A54" i="6" s="1"/>
  <c r="B81" i="4"/>
  <c r="A58" i="6" s="1"/>
  <c r="C15" i="6"/>
  <c r="B20" i="6"/>
  <c r="F20" i="6"/>
  <c r="B32" i="4"/>
  <c r="A19" i="6" s="1"/>
  <c r="A14" i="6"/>
  <c r="D14" i="6"/>
  <c r="K65" i="6"/>
  <c r="C49" i="6"/>
  <c r="B55" i="4"/>
  <c r="A38" i="6" s="1"/>
  <c r="C34" i="6"/>
  <c r="C19" i="6"/>
  <c r="C2" i="6"/>
  <c r="B59" i="4"/>
  <c r="A42" i="6" s="1"/>
  <c r="B85" i="4"/>
  <c r="A60" i="6" s="1"/>
  <c r="C39" i="6"/>
  <c r="B79" i="4"/>
  <c r="A57" i="6" s="1"/>
  <c r="C14" i="6"/>
  <c r="C24" i="6"/>
  <c r="C29" i="6"/>
  <c r="C44" i="6"/>
  <c r="B69" i="4"/>
  <c r="A50" i="6" s="1"/>
  <c r="C12" i="6"/>
  <c r="C11" i="6"/>
  <c r="C10" i="6"/>
  <c r="C9" i="6"/>
  <c r="C8" i="6"/>
  <c r="C7" i="6"/>
  <c r="B71" i="4"/>
  <c r="A52" i="6" s="1"/>
  <c r="B57" i="4"/>
  <c r="A40" i="6" s="1"/>
  <c r="B53" i="4"/>
  <c r="A37" i="6" s="1"/>
  <c r="A27" i="6"/>
  <c r="H6" i="6"/>
  <c r="D6" i="6" s="1"/>
  <c r="B34" i="4"/>
  <c r="A21" i="6" s="1"/>
  <c r="B63" i="4"/>
  <c r="A45" i="6" s="1"/>
  <c r="C5" i="6"/>
  <c r="A15" i="6"/>
  <c r="D55" i="4"/>
  <c r="C4" i="6"/>
  <c r="C6" i="6"/>
  <c r="D43" i="4"/>
  <c r="B52" i="4"/>
  <c r="A36" i="6" s="1"/>
  <c r="B70" i="4"/>
  <c r="A51" i="6" s="1"/>
  <c r="G61" i="4"/>
  <c r="A26" i="6"/>
  <c r="B68" i="4"/>
  <c r="A49" i="6" s="1"/>
  <c r="B50" i="4"/>
  <c r="A34" i="6" s="1"/>
  <c r="B56" i="4"/>
  <c r="A39" i="6" s="1"/>
  <c r="D49" i="4"/>
  <c r="D31" i="4"/>
  <c r="D67" i="4"/>
  <c r="D74" i="4"/>
  <c r="D61" i="4"/>
  <c r="A25" i="6"/>
  <c r="G37" i="4"/>
  <c r="G49" i="4"/>
  <c r="G69" i="6" a="1"/>
  <c r="G69" i="6" s="1"/>
  <c r="H69" i="6" s="1"/>
  <c r="G64" i="6"/>
  <c r="G55" i="4"/>
  <c r="G67" i="4"/>
  <c r="G43" i="4"/>
  <c r="G74" i="4"/>
  <c r="S11" i="5"/>
  <c r="S9" i="5"/>
  <c r="S10" i="5"/>
  <c r="S8" i="5"/>
  <c r="T7" i="5"/>
  <c r="S6" i="5"/>
  <c r="S5" i="5"/>
  <c r="C65" i="6" l="1"/>
  <c r="D65" i="6"/>
  <c r="C67" i="6"/>
  <c r="F47" i="6"/>
  <c r="H47" i="6" s="1"/>
  <c r="F37" i="6"/>
  <c r="H37" i="6" s="1"/>
  <c r="F52" i="6"/>
  <c r="H52" i="6" s="1"/>
  <c r="H27" i="6"/>
  <c r="F68" i="6"/>
  <c r="H68" i="6" s="1"/>
  <c r="F32" i="6"/>
  <c r="H32" i="6" s="1"/>
  <c r="F42" i="6"/>
  <c r="H42" i="6" s="1"/>
  <c r="C51" i="6"/>
  <c r="C41" i="6"/>
  <c r="B25" i="6"/>
  <c r="G25" i="6" s="1"/>
  <c r="G20" i="6"/>
  <c r="H20" i="6" s="1"/>
  <c r="B35" i="6"/>
  <c r="G35" i="6" s="1"/>
  <c r="B45" i="6"/>
  <c r="G45" i="6" s="1"/>
  <c r="B30" i="6"/>
  <c r="G30" i="6" s="1"/>
  <c r="B40" i="6"/>
  <c r="G40" i="6" s="1"/>
  <c r="B50" i="6"/>
  <c r="G50" i="6" s="1"/>
  <c r="F25" i="6"/>
  <c r="B64" i="6"/>
  <c r="H64" i="6"/>
  <c r="T8" i="5"/>
  <c r="T10" i="5"/>
  <c r="T9" i="5"/>
  <c r="T11" i="5"/>
  <c r="T6" i="5"/>
  <c r="T5" i="5"/>
  <c r="D52" i="6" l="1"/>
  <c r="C52" i="6"/>
  <c r="D37" i="6"/>
  <c r="C37" i="6"/>
  <c r="D47" i="6"/>
  <c r="C47" i="6"/>
  <c r="D42" i="6"/>
  <c r="C42" i="6"/>
  <c r="D32" i="6"/>
  <c r="C32" i="6"/>
  <c r="D68" i="6"/>
  <c r="C68" i="6"/>
  <c r="D27" i="6"/>
  <c r="C27" i="6"/>
  <c r="D20" i="6"/>
  <c r="K66" i="6"/>
  <c r="C20" i="6"/>
  <c r="F50" i="6"/>
  <c r="H50" i="6" s="1"/>
  <c r="F54" i="6"/>
  <c r="F30" i="6"/>
  <c r="H30" i="6" s="1"/>
  <c r="F45" i="6"/>
  <c r="H45" i="6" s="1"/>
  <c r="H25" i="6"/>
  <c r="F35" i="6"/>
  <c r="H35" i="6" s="1"/>
  <c r="F40" i="6"/>
  <c r="H40" i="6" s="1"/>
  <c r="F66" i="6"/>
  <c r="H66" i="6" s="1"/>
  <c r="C64" i="6"/>
  <c r="D64" i="6"/>
  <c r="D25" i="6" l="1"/>
  <c r="C25" i="6"/>
  <c r="D45" i="6"/>
  <c r="C45" i="6"/>
  <c r="F57" i="6"/>
  <c r="H57" i="6" s="1"/>
  <c r="F62" i="6"/>
  <c r="H62" i="6" s="1"/>
  <c r="F58" i="6"/>
  <c r="H58" i="6" s="1"/>
  <c r="F60" i="6"/>
  <c r="H60" i="6" s="1"/>
  <c r="F63" i="6"/>
  <c r="H63" i="6" s="1"/>
  <c r="F59" i="6"/>
  <c r="H59" i="6" s="1"/>
  <c r="H54" i="6"/>
  <c r="F55" i="6"/>
  <c r="D50" i="6"/>
  <c r="C50" i="6"/>
  <c r="D30" i="6"/>
  <c r="C30" i="6"/>
  <c r="D66" i="6"/>
  <c r="C66" i="6"/>
  <c r="D40" i="6"/>
  <c r="C40" i="6"/>
  <c r="D35" i="6"/>
  <c r="C35" i="6"/>
  <c r="D60" i="6" l="1"/>
  <c r="C60" i="6"/>
  <c r="D58" i="6"/>
  <c r="C58" i="6"/>
  <c r="D62" i="6"/>
  <c r="C62" i="6"/>
  <c r="D57" i="6"/>
  <c r="C57" i="6"/>
  <c r="F56" i="6"/>
  <c r="H56" i="6" s="1"/>
  <c r="H55" i="6"/>
  <c r="H70" i="6" s="1"/>
  <c r="D2" i="6" s="1"/>
  <c r="D54" i="6"/>
  <c r="C54" i="6"/>
  <c r="D59" i="6"/>
  <c r="C59" i="6"/>
  <c r="D63" i="6"/>
  <c r="C63" i="6"/>
  <c r="D55" i="6" l="1"/>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<sst xmlns="http://schemas.openxmlformats.org/spreadsheetml/2006/main" count="22337" uniqueCount="15809">
  <si>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</si>
  <si>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</si>
  <si>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</si>
  <si>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</si>
  <si>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</si>
  <si>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</si>
  <si>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</si>
  <si>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</si>
  <si>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</si>
  <si>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</si>
  <si>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</si>
  <si>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</si>
  <si>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</si>
  <si>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</si>
  <si>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</si>
  <si>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</si>
  <si>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</si>
  <si>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</si>
  <si>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</si>
  <si>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</si>
  <si>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</si>
  <si>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</si>
  <si>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</si>
  <si>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</si>
  <si>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</si>
  <si>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</si>
  <si>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</si>
  <si>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</si>
  <si>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</si>
  <si>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</si>
  <si>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</si>
  <si>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</si>
  <si>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</si>
  <si>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</si>
  <si>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</si>
  <si>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</si>
  <si>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</si>
  <si>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</si>
  <si>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</si>
  <si>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</si>
  <si>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</si>
  <si>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</si>
  <si>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</si>
  <si>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</si>
  <si>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</si>
  <si>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</si>
  <si>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</si>
  <si>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</si>
  <si>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</si>
  <si>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</si>
  <si>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</si>
  <si>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</si>
  <si>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</si>
  <si>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</si>
  <si>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</si>
  <si>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</si>
  <si>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</si>
  <si>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</si>
  <si>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</si>
  <si>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</si>
  <si>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</si>
  <si>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</si>
  <si>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</si>
  <si>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</si>
  <si>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</si>
  <si>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</si>
  <si>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</si>
  <si>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</si>
  <si>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</si>
  <si>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</si>
  <si>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</si>
  <si>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</si>
  <si>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</si>
  <si>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</si>
  <si>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</si>
  <si>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</si>
  <si>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</si>
  <si>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</si>
  <si>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</si>
  <si>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</si>
  <si>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</si>
  <si>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</si>
  <si>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</si>
  <si>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</si>
  <si>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</si>
  <si>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</si>
  <si>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</si>
  <si>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</si>
  <si>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</si>
  <si>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</si>
  <si>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</si>
  <si>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</si>
  <si>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</si>
  <si>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</si>
  <si>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</si>
  <si>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</si>
  <si>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</si>
  <si>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</si>
  <si>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</si>
  <si>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</si>
  <si>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</si>
  <si>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</si>
  <si>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</si>
  <si>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</si>
  <si>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</si>
  <si>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</si>
  <si>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</si>
  <si>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</si>
  <si>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</si>
  <si>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</si>
  <si>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</si>
  <si>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</si>
  <si>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</si>
  <si>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</si>
  <si>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</si>
  <si>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</si>
  <si>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</si>
  <si>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</si>
  <si>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</si>
  <si>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</si>
  <si>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</si>
  <si>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</si>
  <si>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</si>
  <si>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</si>
  <si>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</si>
  <si>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</si>
  <si>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</si>
  <si>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</si>
  <si>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</si>
  <si>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</si>
  <si>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</si>
  <si>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</si>
  <si>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</si>
  <si>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</si>
  <si>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</si>
  <si>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</si>
  <si>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</si>
  <si>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</si>
  <si>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</si>
  <si>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</si>
  <si>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</si>
  <si>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</si>
  <si>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</si>
  <si>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</si>
  <si>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</si>
  <si>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</si>
  <si>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</si>
  <si>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</si>
  <si>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</si>
  <si>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</si>
  <si>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</si>
  <si>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</si>
  <si>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</si>
  <si>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</si>
  <si>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</si>
  <si>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</si>
  <si>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</si>
  <si>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</si>
  <si>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</si>
  <si>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</si>
  <si>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</si>
  <si>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</si>
  <si>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</si>
  <si>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</si>
  <si>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</si>
  <si>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</si>
  <si>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</si>
  <si>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</si>
  <si>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</si>
  <si>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</si>
  <si>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</si>
  <si>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</si>
  <si>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</si>
  <si>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</si>
  <si>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</si>
  <si>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</si>
  <si>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</si>
  <si>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</si>
  <si>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</si>
  <si>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</si>
  <si>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</si>
  <si>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</si>
  <si>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</si>
  <si>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</si>
  <si>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</si>
  <si>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</si>
  <si>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</si>
  <si>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</si>
  <si>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</si>
  <si>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</si>
  <si>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</si>
  <si>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</si>
  <si>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</si>
  <si>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</si>
  <si>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</si>
  <si>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</si>
  <si>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</si>
  <si>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</si>
  <si>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</si>
  <si>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</si>
  <si>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</si>
  <si>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</si>
  <si>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</si>
  <si>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</si>
  <si>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</si>
  <si>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</si>
  <si>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</si>
  <si>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</si>
  <si>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</si>
  <si>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</si>
  <si>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</si>
  <si>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</si>
  <si>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</si>
  <si>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</si>
  <si>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</si>
  <si>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</si>
  <si>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</si>
  <si>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</si>
  <si>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</si>
  <si>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</si>
  <si>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</si>
  <si>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</si>
  <si>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</si>
  <si>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</si>
  <si>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</si>
  <si>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</si>
  <si>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</si>
  <si>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</si>
  <si>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</si>
  <si>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</si>
  <si>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</si>
  <si>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</si>
  <si>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</si>
  <si>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</si>
  <si>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</si>
  <si>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</si>
  <si>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</si>
  <si>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</si>
  <si>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</si>
  <si>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</si>
  <si>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</si>
  <si>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</si>
  <si>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</si>
  <si>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</si>
  <si>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</si>
  <si>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</si>
  <si>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</si>
  <si>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</si>
  <si>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</si>
  <si>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</si>
  <si>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</si>
  <si>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</si>
  <si>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</si>
  <si>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</si>
  <si>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</si>
  <si>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</si>
  <si>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</si>
  <si>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</si>
  <si>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</si>
  <si>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</si>
  <si>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</si>
  <si>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</si>
  <si>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</si>
  <si>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</si>
  <si>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</si>
  <si>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</si>
  <si>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</si>
  <si>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</si>
  <si>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</si>
  <si>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</si>
  <si>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</si>
  <si>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</si>
  <si>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</si>
  <si>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</si>
  <si>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</si>
  <si>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</si>
  <si>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</si>
  <si>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</si>
  <si>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</si>
  <si>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</si>
  <si>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</si>
  <si>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</si>
  <si>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</si>
  <si>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</si>
  <si>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</si>
  <si>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</si>
  <si>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</si>
  <si>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</si>
  <si>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</si>
  <si>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</si>
  <si>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</si>
  <si>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</si>
  <si>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</si>
  <si>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</si>
  <si>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</si>
  <si>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</si>
  <si>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</si>
  <si>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</si>
  <si>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</si>
  <si>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</si>
  <si>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</si>
  <si>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</si>
  <si>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</si>
  <si>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</si>
  <si>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</si>
  <si>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</si>
  <si>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</si>
  <si>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</si>
  <si>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</si>
  <si>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</si>
  <si>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</si>
  <si>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</si>
  <si>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</si>
  <si>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</si>
  <si>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</si>
  <si>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</si>
  <si>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</si>
  <si>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</si>
  <si>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</si>
  <si>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</si>
  <si>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</si>
  <si>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</si>
  <si>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</si>
  <si>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</si>
  <si>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</si>
  <si>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</si>
  <si>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</si>
  <si>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</si>
  <si>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</si>
  <si>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</si>
  <si>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</si>
  <si>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</si>
  <si>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</si>
  <si>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</si>
  <si>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</si>
  <si>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</si>
  <si>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</si>
  <si>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</si>
  <si>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</si>
  <si>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</si>
  <si>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</si>
  <si>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</si>
  <si>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</si>
  <si>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</si>
  <si>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</si>
  <si>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</si>
  <si>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</si>
  <si>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</si>
  <si>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</si>
  <si>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</si>
  <si>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</si>
  <si>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</si>
  <si>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</si>
  <si>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</si>
  <si>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</si>
  <si>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</si>
  <si>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</si>
  <si>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</si>
  <si>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</si>
  <si>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</si>
  <si>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</si>
  <si>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</si>
  <si>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</si>
  <si>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</si>
  <si>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</si>
  <si>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</si>
  <si>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</si>
  <si>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</si>
  <si>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</si>
  <si>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</si>
  <si>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</si>
  <si>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</si>
  <si>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</si>
  <si>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</si>
  <si>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</si>
  <si>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</si>
  <si>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</si>
  <si>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</si>
  <si>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</si>
  <si>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</si>
  <si>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</si>
  <si>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</si>
  <si>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</si>
  <si>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</si>
  <si>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</si>
  <si>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</si>
  <si>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</si>
  <si>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</si>
  <si>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</si>
  <si>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</si>
  <si>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</si>
  <si>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</si>
  <si>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</si>
  <si>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</si>
  <si>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</si>
  <si>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</si>
  <si>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</si>
  <si>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</si>
  <si>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</si>
  <si>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</si>
  <si>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</si>
  <si>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</si>
  <si>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</si>
  <si>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</si>
  <si>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</si>
  <si>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</si>
  <si>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</si>
  <si>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</si>
  <si>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</si>
  <si>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</si>
  <si>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</si>
  <si>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</si>
  <si>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</si>
  <si>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</si>
  <si>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</si>
  <si>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</si>
  <si>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</si>
  <si>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</si>
  <si>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</si>
  <si>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</si>
  <si>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</si>
  <si>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</si>
  <si>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</si>
  <si>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</si>
  <si>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</si>
  <si>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</si>
  <si>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</si>
  <si>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</si>
  <si>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</si>
  <si>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</si>
  <si>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</si>
  <si>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</si>
  <si>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</si>
  <si>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</si>
  <si>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</si>
  <si>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</si>
  <si>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</si>
  <si>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</si>
  <si>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</si>
  <si>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</si>
  <si>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</si>
  <si>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</si>
  <si>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</si>
  <si>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</si>
  <si>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</si>
  <si>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</si>
  <si>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</si>
  <si>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</si>
  <si>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</si>
  <si>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</si>
  <si>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</si>
  <si>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</si>
  <si>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</si>
  <si>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</si>
  <si>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</si>
  <si>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</si>
  <si>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</si>
  <si>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</si>
  <si>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</si>
  <si>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</si>
  <si>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</si>
  <si>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</si>
  <si>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</si>
  <si>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</si>
  <si>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</si>
  <si>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</si>
  <si>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</si>
  <si>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</si>
  <si>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</si>
  <si>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</si>
  <si>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</si>
  <si>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</si>
  <si>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</si>
  <si>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</si>
  <si>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</si>
  <si>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</si>
  <si>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</si>
  <si>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</si>
  <si>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</si>
  <si>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</si>
  <si>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</si>
  <si>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</si>
  <si>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</si>
  <si>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</si>
  <si>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</si>
  <si>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</si>
  <si>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</si>
  <si>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</si>
  <si>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</si>
  <si>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</si>
  <si>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</si>
  <si>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</si>
  <si>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</si>
  <si>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</si>
  <si>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</si>
  <si>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</si>
  <si>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</si>
  <si>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</si>
  <si>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</si>
  <si>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</si>
  <si>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</si>
  <si>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</si>
  <si>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</si>
  <si>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</si>
  <si>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</si>
  <si>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</si>
  <si>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</si>
  <si>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</si>
  <si>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</si>
  <si>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</si>
  <si>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</si>
  <si>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</si>
  <si>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</si>
  <si>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</si>
  <si>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</si>
  <si>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</si>
  <si>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</si>
  <si>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</si>
  <si>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</si>
  <si>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</si>
  <si>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</si>
  <si>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</si>
  <si>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</si>
  <si>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</si>
  <si>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</si>
  <si>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</si>
  <si>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</si>
  <si>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</si>
  <si>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</si>
  <si>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</si>
  <si>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</si>
  <si>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</si>
  <si>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</si>
  <si>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</si>
  <si>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</si>
  <si>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</si>
  <si>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</si>
  <si>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</si>
  <si>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</si>
  <si>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</si>
  <si>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</si>
  <si>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</si>
  <si>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</si>
  <si>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</si>
  <si>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</si>
  <si>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</si>
  <si>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</si>
  <si>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</si>
  <si>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</si>
  <si>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</si>
  <si>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</si>
  <si>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</si>
  <si>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</si>
  <si>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</si>
  <si>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</si>
  <si>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</si>
  <si>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</si>
  <si>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</si>
  <si>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</si>
  <si>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</si>
  <si>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</si>
  <si>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</si>
  <si>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</si>
  <si>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</si>
  <si>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</si>
  <si>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</si>
  <si>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</si>
  <si>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</si>
  <si>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</si>
  <si>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</si>
  <si>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</si>
  <si>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</si>
  <si>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</si>
  <si>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</si>
  <si>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</si>
  <si>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</si>
  <si>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</si>
  <si>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</si>
  <si>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</si>
  <si>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</si>
  <si>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</si>
  <si>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</si>
  <si>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</si>
  <si>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</si>
  <si>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</si>
  <si>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</si>
  <si>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</si>
  <si>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</si>
  <si>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</si>
  <si>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</si>
  <si>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</si>
  <si>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</si>
  <si>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</si>
  <si>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</si>
  <si>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</si>
  <si>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</si>
  <si>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</si>
  <si>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</si>
  <si>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</si>
  <si>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</si>
  <si>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</si>
  <si>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</si>
  <si>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</si>
  <si>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</si>
  <si>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</si>
  <si>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</si>
  <si>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</si>
  <si>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</si>
  <si>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</si>
  <si>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</si>
  <si>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</si>
  <si>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</si>
  <si>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</si>
  <si>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</si>
  <si>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</si>
  <si>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</si>
  <si>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</si>
  <si>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</si>
  <si>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</si>
  <si>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</si>
  <si>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</si>
  <si>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</si>
  <si>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</si>
  <si>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</si>
  <si>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</si>
  <si>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</si>
  <si>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</si>
  <si>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</si>
  <si>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</si>
  <si>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</si>
  <si>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</si>
  <si>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</si>
  <si>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</si>
  <si>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</si>
  <si>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</si>
  <si>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</si>
  <si>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</si>
  <si>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</si>
  <si>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</si>
  <si>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</si>
  <si>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</si>
  <si>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</si>
  <si>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</si>
  <si>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</si>
  <si>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</si>
  <si>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</si>
  <si>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</si>
  <si>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</si>
  <si>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</si>
  <si>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</si>
  <si>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</si>
  <si>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</si>
  <si>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</si>
  <si>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</si>
  <si>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</si>
  <si>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</si>
  <si>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</si>
  <si>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</si>
  <si>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</si>
  <si>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</si>
  <si>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</si>
  <si>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</si>
  <si>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</si>
  <si>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</si>
  <si>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</si>
  <si>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</si>
  <si>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</si>
  <si>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</si>
  <si>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</si>
  <si>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</si>
  <si>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</si>
  <si>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</si>
  <si>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</si>
  <si>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</si>
  <si>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</si>
  <si>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</si>
  <si>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</si>
  <si>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</si>
  <si>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</si>
  <si>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</si>
  <si>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</si>
  <si>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</si>
  <si>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</si>
  <si>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</si>
  <si>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</si>
  <si>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</si>
  <si>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</si>
  <si>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</si>
  <si>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</si>
  <si>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</si>
  <si>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</si>
  <si>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</si>
  <si>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</si>
  <si>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</si>
  <si>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</si>
  <si>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</si>
  <si>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</si>
  <si>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</si>
  <si>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</si>
  <si>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</si>
  <si>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</si>
  <si>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</si>
  <si>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</si>
  <si>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</si>
  <si>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</si>
  <si>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</si>
  <si>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</si>
  <si>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</si>
  <si>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</si>
  <si>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</si>
  <si>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</si>
  <si>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</si>
  <si>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</si>
  <si>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</si>
  <si>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</si>
  <si>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</si>
  <si>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</si>
  <si>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</si>
  <si>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</si>
  <si>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</si>
  <si>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</si>
  <si>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</si>
  <si>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</si>
  <si>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</si>
  <si>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</si>
  <si>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</si>
  <si>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</si>
  <si>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</si>
  <si>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</si>
  <si>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</si>
  <si>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</si>
  <si>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</si>
  <si>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</si>
  <si>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</si>
  <si>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</si>
  <si>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</si>
  <si>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</si>
  <si>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</si>
  <si>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</si>
  <si>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</si>
  <si>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</si>
  <si>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</si>
  <si>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</si>
  <si>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</si>
  <si>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</si>
  <si>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</si>
  <si>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</si>
  <si>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</si>
  <si>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</si>
  <si>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</si>
  <si>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</si>
  <si>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</si>
  <si>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</si>
  <si>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</si>
  <si>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</si>
  <si>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</si>
  <si>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</si>
  <si>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</si>
  <si>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</si>
  <si>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</si>
  <si>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</si>
  <si>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</si>
  <si>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</si>
  <si>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</si>
  <si>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</si>
  <si>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</si>
  <si>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</si>
  <si>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</si>
  <si>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</si>
  <si>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</si>
  <si>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</si>
  <si>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</si>
  <si>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</si>
  <si>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</si>
  <si>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</si>
  <si>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</si>
  <si>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</si>
  <si>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</si>
  <si>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</si>
  <si>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</si>
  <si>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</si>
  <si>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</si>
  <si>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</si>
  <si>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</si>
  <si>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</si>
  <si>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</si>
  <si>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</si>
  <si>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</si>
  <si>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</si>
  <si>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</si>
  <si>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</si>
  <si>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</si>
  <si>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</si>
  <si>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</si>
  <si>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</si>
  <si>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</si>
  <si>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</si>
  <si>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</si>
  <si>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</si>
  <si>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</si>
  <si>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</si>
  <si>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</si>
  <si>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</si>
  <si>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</si>
  <si>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</si>
  <si>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</si>
  <si>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</si>
  <si>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</si>
  <si>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</si>
  <si>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</si>
  <si>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</si>
  <si>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</si>
  <si>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</si>
  <si>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</si>
  <si>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</si>
  <si>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</si>
  <si>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</si>
  <si>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</si>
  <si>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</si>
  <si>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</si>
  <si>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</si>
  <si>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</si>
  <si>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</si>
  <si>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</si>
  <si>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</si>
  <si>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</si>
  <si>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</si>
  <si>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</si>
  <si>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</si>
  <si>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</si>
  <si>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</si>
  <si>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</si>
  <si>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</si>
  <si>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</si>
  <si>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</si>
  <si>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</si>
  <si>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</si>
  <si>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</si>
  <si>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</si>
  <si>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</si>
  <si>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</si>
  <si>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</si>
  <si>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</si>
  <si>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</si>
  <si>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</si>
  <si>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</si>
  <si>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</si>
  <si>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</si>
  <si>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</si>
  <si>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</si>
  <si>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</si>
  <si>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</si>
  <si>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</si>
  <si>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</si>
  <si>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</si>
  <si>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</si>
  <si>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</si>
  <si>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</si>
  <si>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</si>
  <si>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</si>
  <si>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</si>
  <si>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</si>
  <si>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</si>
  <si>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</si>
  <si>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</si>
  <si>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</si>
  <si>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</si>
  <si>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</si>
  <si>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</si>
  <si>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</si>
  <si>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</si>
  <si>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</si>
  <si>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</si>
  <si>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</si>
  <si>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</si>
  <si>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</si>
  <si>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</si>
  <si>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</si>
  <si>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</si>
  <si>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</si>
  <si>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</si>
  <si>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</si>
  <si>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</si>
  <si>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</si>
  <si>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</si>
  <si>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</si>
  <si>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</si>
  <si>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</si>
  <si>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</si>
  <si>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</si>
  <si>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</si>
  <si>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</si>
  <si>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</si>
  <si>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</si>
  <si>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</si>
  <si>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</si>
  <si>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</si>
  <si>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</si>
  <si>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</si>
  <si>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</si>
  <si>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</si>
  <si>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</si>
  <si>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</si>
  <si>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</si>
  <si>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</si>
  <si>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</si>
  <si>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</si>
  <si>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</si>
  <si>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</si>
  <si>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</si>
  <si>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</si>
  <si>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</si>
  <si>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</si>
  <si>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</si>
  <si>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</si>
  <si>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</si>
  <si>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</si>
  <si>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</si>
  <si>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</si>
  <si>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</si>
  <si>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</si>
  <si>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</si>
  <si>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</si>
  <si>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</si>
  <si>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</si>
  <si>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</si>
  <si>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</si>
  <si>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</si>
  <si>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</si>
  <si>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</si>
  <si>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</si>
  <si>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</si>
  <si>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</si>
  <si>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</si>
  <si>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</si>
  <si>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</si>
  <si>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</si>
  <si>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</si>
  <si>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</si>
  <si>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</si>
  <si>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</si>
  <si>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</si>
  <si>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</si>
  <si>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</si>
  <si>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</si>
  <si>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</si>
  <si>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</si>
  <si>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</si>
  <si>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</si>
  <si>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</si>
  <si>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</si>
  <si>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</si>
  <si>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</si>
  <si>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</si>
  <si>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</si>
  <si>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</si>
  <si>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</si>
  <si>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</si>
  <si>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</si>
  <si>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</si>
  <si>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</si>
  <si>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</si>
  <si>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</si>
  <si>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</si>
  <si>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</si>
  <si>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</si>
  <si>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</si>
  <si>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</si>
  <si>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</si>
  <si>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</si>
  <si>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</si>
  <si>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</si>
  <si>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</si>
  <si>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</si>
  <si>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</si>
  <si>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</si>
  <si>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</si>
  <si>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</si>
  <si>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</si>
  <si>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</si>
  <si>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</si>
  <si>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</si>
  <si>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</si>
  <si>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</si>
  <si>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</si>
  <si>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</si>
  <si>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</si>
  <si>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</si>
  <si>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</si>
  <si>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</si>
  <si>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</si>
  <si>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</si>
  <si>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</si>
  <si>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</si>
  <si>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</si>
  <si>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</si>
  <si>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</si>
  <si>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</si>
  <si>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</si>
  <si>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</si>
  <si>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</si>
  <si>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</si>
  <si>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</si>
  <si>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</si>
  <si>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</si>
  <si>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</si>
  <si>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</si>
  <si>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</si>
  <si>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</si>
  <si>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</si>
  <si>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</si>
  <si>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</si>
  <si>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</si>
  <si>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</si>
  <si>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</si>
  <si>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</si>
  <si>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</si>
  <si>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</si>
  <si>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</si>
  <si>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</si>
  <si>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</si>
  <si>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</si>
  <si>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</si>
  <si>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</si>
  <si>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</si>
  <si>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</si>
  <si>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</si>
  <si>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</si>
  <si>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</si>
  <si>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</si>
  <si>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</si>
  <si>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</si>
  <si>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</si>
  <si>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</si>
  <si>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</si>
  <si>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</si>
  <si>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</si>
  <si>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</si>
  <si>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</si>
  <si>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</si>
  <si>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</si>
  <si>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</si>
  <si>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</si>
  <si>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</si>
  <si>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</si>
  <si>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</si>
  <si>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</si>
  <si>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</si>
  <si>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</si>
  <si>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</si>
  <si>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</si>
  <si>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</si>
  <si>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</si>
  <si>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</si>
  <si>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</si>
  <si>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</si>
  <si>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</si>
  <si>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</si>
  <si>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</si>
  <si>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</si>
  <si>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</si>
  <si>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</si>
  <si>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</si>
  <si>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</si>
  <si>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</si>
  <si>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</si>
  <si>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</si>
  <si>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</si>
  <si>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</si>
  <si>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</si>
  <si>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</si>
  <si>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</si>
  <si>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</si>
  <si>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</si>
  <si>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</si>
  <si>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</si>
  <si>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</si>
  <si>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</si>
  <si>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</si>
  <si>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</si>
  <si>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</si>
  <si>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</si>
  <si>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</si>
  <si>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</si>
  <si>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</si>
  <si>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</si>
  <si>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</si>
  <si>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</si>
  <si>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</si>
  <si>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</si>
  <si>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</si>
  <si>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</si>
  <si>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</si>
  <si>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</si>
  <si>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</si>
  <si>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</si>
  <si>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</si>
  <si>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</si>
  <si>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</si>
  <si>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</si>
  <si>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</si>
  <si>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</si>
  <si>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</si>
  <si>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</si>
  <si>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</si>
  <si>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</si>
  <si>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</si>
  <si>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</si>
  <si>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</si>
  <si>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</si>
  <si>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</si>
  <si>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</si>
  <si>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</si>
  <si>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</si>
  <si>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</si>
  <si>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</si>
  <si>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</si>
  <si>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</si>
  <si>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</si>
  <si>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</si>
  <si>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</si>
  <si>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</si>
  <si>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</si>
  <si>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</si>
  <si>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</si>
  <si>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</si>
  <si>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</si>
  <si>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</si>
  <si>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</si>
  <si>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</si>
  <si>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</si>
  <si>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</si>
  <si>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</si>
  <si>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</si>
  <si>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</si>
  <si>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</si>
  <si>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</si>
  <si>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</si>
  <si>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</si>
  <si>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</si>
  <si>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</si>
  <si>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</si>
  <si>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</si>
  <si>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</si>
  <si>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</si>
  <si>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</si>
  <si>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</si>
  <si>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</si>
  <si>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</si>
  <si>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</si>
  <si>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</si>
  <si>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</si>
  <si>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</si>
  <si>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</si>
  <si>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</si>
  <si>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</si>
  <si>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</si>
  <si>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</si>
  <si>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</si>
  <si>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</si>
  <si>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</si>
  <si>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</si>
  <si>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</si>
  <si>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</si>
  <si>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</si>
  <si>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</si>
  <si>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</si>
  <si>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</si>
  <si>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</si>
  <si>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</si>
  <si>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</si>
  <si>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</si>
  <si>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</si>
  <si>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</si>
  <si>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</si>
  <si>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</si>
  <si>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</si>
  <si>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</si>
  <si>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</si>
  <si>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</si>
  <si>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</si>
  <si>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</si>
  <si>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</si>
  <si>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</si>
  <si>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</si>
  <si>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</si>
  <si>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</si>
  <si>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</si>
  <si>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</si>
  <si>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</si>
  <si>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</si>
  <si>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</si>
  <si>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</si>
  <si>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</si>
  <si>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</si>
  <si>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</si>
  <si>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</si>
  <si>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</si>
  <si>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</si>
  <si>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</si>
  <si>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</si>
  <si>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</si>
  <si>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</si>
  <si>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</si>
  <si>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</si>
  <si>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</si>
  <si>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</si>
  <si>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</si>
  <si>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</si>
  <si>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</si>
  <si>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</si>
  <si>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</si>
  <si>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</si>
  <si>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</si>
  <si>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</si>
  <si>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</si>
  <si>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</si>
  <si>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</si>
  <si>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</si>
  <si>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</si>
  <si>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</si>
  <si>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</si>
  <si>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</si>
  <si>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</si>
  <si>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</si>
  <si>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</si>
  <si>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</si>
  <si>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</si>
  <si>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</si>
  <si>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</si>
  <si>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</si>
  <si>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</si>
  <si>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</si>
  <si>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</si>
  <si>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</si>
  <si>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</si>
  <si>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</si>
  <si>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</si>
  <si>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</si>
  <si>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</si>
  <si>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</si>
  <si>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</si>
  <si>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</si>
  <si>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</si>
  <si>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</si>
  <si>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</si>
  <si>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</si>
  <si>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</si>
  <si>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</si>
  <si>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</si>
  <si>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</si>
  <si>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</si>
  <si>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</si>
  <si>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</si>
  <si>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</si>
  <si>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</si>
  <si>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</si>
  <si>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</si>
  <si>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</si>
  <si>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</si>
  <si>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</si>
  <si>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</si>
  <si>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</si>
  <si>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</si>
  <si>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</si>
  <si>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</si>
  <si>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</si>
  <si>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</si>
  <si>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</si>
  <si>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</si>
  <si>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</si>
  <si>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</si>
  <si>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</si>
  <si>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</si>
  <si>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</si>
  <si>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</si>
  <si>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</si>
  <si>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</si>
  <si>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</si>
  <si>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</si>
  <si>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</si>
  <si>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</si>
  <si>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</si>
  <si>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</si>
  <si>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</si>
  <si>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</si>
  <si>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</si>
  <si>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</si>
  <si>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</si>
  <si>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</si>
  <si>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</si>
  <si>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</si>
  <si>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</si>
  <si>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</si>
  <si>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</si>
  <si>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</si>
  <si>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</si>
  <si>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</si>
  <si>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</si>
  <si>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</si>
  <si>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</si>
  <si>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</si>
  <si>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</si>
  <si>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</si>
  <si>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</si>
  <si>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</si>
  <si>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</si>
  <si>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</si>
  <si>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</si>
  <si>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</si>
  <si>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</si>
  <si>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</si>
  <si>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</si>
  <si>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</si>
  <si>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</si>
  <si>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</si>
  <si>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</si>
  <si>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</si>
  <si>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</si>
  <si>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</si>
  <si>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</si>
  <si>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</si>
  <si>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</si>
  <si>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</si>
  <si>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</si>
  <si>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</si>
  <si>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</si>
  <si>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</si>
  <si>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</si>
  <si>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</si>
  <si>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</si>
  <si>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</si>
  <si>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</si>
  <si>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</si>
  <si>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</si>
  <si>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</si>
  <si>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</si>
  <si>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</si>
  <si>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</si>
  <si>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</si>
  <si>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</si>
  <si>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</si>
  <si>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</si>
  <si>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</si>
  <si>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</si>
  <si>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</si>
  <si>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</si>
  <si>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</si>
  <si>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</si>
  <si>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</si>
  <si>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</si>
  <si>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</si>
  <si>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</si>
  <si>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</si>
  <si>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</si>
  <si>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</si>
  <si>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</si>
  <si>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</si>
  <si>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</si>
  <si>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</si>
  <si>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</si>
  <si>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</si>
  <si>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</si>
  <si>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</si>
  <si>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</si>
  <si>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</si>
  <si>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</si>
  <si>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</si>
  <si>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</si>
  <si>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</si>
  <si>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</si>
  <si>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</si>
  <si>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</si>
  <si>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</si>
  <si>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</si>
  <si>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</si>
  <si>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</si>
  <si>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</si>
  <si>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</si>
  <si>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</si>
  <si>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</si>
  <si>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</si>
  <si>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</si>
  <si>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</si>
  <si>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</si>
  <si>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</si>
  <si>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</si>
  <si>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</si>
  <si>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</si>
  <si>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</si>
  <si>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</si>
  <si>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</si>
  <si>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</si>
  <si>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</si>
  <si>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</si>
  <si>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</si>
  <si>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</si>
  <si>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</si>
  <si>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</si>
  <si>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</si>
  <si>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</si>
  <si>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</si>
  <si>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</si>
  <si>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</si>
  <si>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</si>
  <si>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</si>
  <si>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</si>
  <si>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</si>
  <si>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</si>
  <si>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</si>
  <si>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</si>
  <si>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</si>
  <si>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</si>
  <si>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</si>
  <si>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</si>
  <si>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</si>
  <si>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</si>
  <si>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</si>
  <si>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</si>
  <si>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</si>
  <si>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</si>
  <si>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</si>
  <si>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</si>
  <si>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</si>
  <si>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</si>
  <si>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</si>
  <si>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</si>
  <si>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</si>
  <si>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</si>
  <si>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</si>
  <si>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</si>
  <si>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</si>
  <si>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</si>
  <si>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</si>
  <si>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</si>
  <si>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</si>
  <si>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</si>
  <si>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</si>
  <si>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</si>
  <si>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</si>
  <si>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</si>
  <si>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</si>
  <si>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</si>
  <si>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</si>
  <si>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</si>
  <si>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</si>
  <si>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</si>
  <si>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</si>
  <si>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</si>
  <si>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</si>
  <si>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</si>
  <si>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</si>
  <si>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</si>
  <si>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</si>
  <si>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</si>
  <si>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</si>
  <si>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</si>
  <si>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</si>
  <si>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</si>
  <si>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</si>
  <si>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</si>
  <si>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</si>
  <si>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</si>
  <si>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</si>
  <si>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</si>
  <si>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</si>
  <si>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</si>
  <si>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</si>
  <si>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</si>
  <si>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</si>
  <si>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</si>
  <si>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</si>
  <si>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</si>
  <si>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</si>
  <si>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</si>
  <si>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</si>
  <si>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</si>
  <si>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</si>
  <si>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</si>
  <si>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</si>
  <si>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</si>
  <si>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</si>
  <si>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</si>
  <si>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</si>
  <si>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</si>
  <si>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</si>
  <si>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</si>
  <si>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</si>
  <si>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</si>
  <si>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</si>
  <si>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</si>
  <si>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</si>
  <si>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</si>
  <si>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</si>
  <si>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</si>
  <si>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</si>
  <si>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</si>
  <si>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</si>
  <si>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</si>
  <si>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</si>
  <si>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</si>
  <si>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</si>
  <si>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</si>
  <si>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</si>
  <si>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</si>
  <si>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</si>
  <si>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</si>
  <si>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</si>
  <si>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</si>
  <si>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</si>
  <si>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</si>
  <si>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</si>
  <si>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</si>
  <si>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</si>
  <si>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</si>
  <si>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</si>
  <si>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</si>
  <si>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</si>
  <si>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</si>
  <si>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</si>
  <si>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</si>
  <si>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</si>
  <si>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</si>
  <si>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</si>
  <si>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</si>
  <si>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</si>
  <si>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</si>
  <si>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</si>
  <si>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</si>
  <si>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</si>
  <si>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</si>
  <si>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</si>
  <si>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</si>
  <si>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</si>
  <si>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</si>
  <si>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</si>
  <si>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</si>
  <si>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</si>
  <si>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</si>
  <si>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</si>
  <si>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</si>
  <si>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</si>
  <si>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</si>
  <si>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</si>
  <si>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</si>
  <si>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</si>
  <si>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</si>
  <si>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</si>
  <si>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</si>
  <si>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</si>
  <si>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</si>
  <si>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</si>
  <si>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</si>
  <si>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</si>
  <si>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</si>
  <si>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</si>
  <si>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</si>
  <si>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</si>
  <si>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</si>
  <si>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</si>
  <si>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</si>
  <si>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</si>
  <si>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</si>
  <si>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</si>
  <si>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</si>
  <si>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</si>
  <si>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</si>
  <si>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</si>
  <si>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</si>
  <si>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</si>
  <si>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</si>
  <si>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</si>
  <si>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</si>
  <si>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</si>
  <si>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</si>
  <si>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</si>
  <si>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</si>
  <si>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</si>
  <si>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</si>
  <si>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</si>
  <si>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</si>
  <si>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</si>
  <si>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</si>
  <si>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</si>
  <si>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</si>
  <si>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</si>
  <si>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</si>
  <si>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</si>
  <si>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</si>
  <si>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</si>
  <si>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</si>
  <si>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</si>
  <si>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</si>
  <si>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</si>
  <si>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</si>
  <si>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</si>
  <si>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</si>
  <si>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</si>
  <si>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</si>
  <si>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</si>
  <si>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</si>
  <si>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</si>
  <si>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</si>
  <si>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</si>
  <si>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</si>
  <si>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</si>
  <si>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</si>
  <si>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</si>
  <si>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</si>
  <si>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</si>
  <si>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</si>
  <si>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</si>
  <si>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</si>
  <si>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</si>
  <si>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</si>
  <si>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</si>
  <si>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</si>
  <si>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</si>
  <si>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</si>
  <si>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</si>
  <si>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</si>
  <si>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</si>
  <si>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</si>
  <si>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</si>
  <si>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</si>
  <si>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</si>
  <si>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</si>
  <si>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</si>
  <si>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</si>
  <si>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</si>
  <si>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</si>
  <si>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</si>
  <si>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</si>
  <si>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</si>
  <si>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</si>
  <si>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</si>
  <si>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</si>
  <si>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</si>
  <si>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</si>
  <si>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</si>
  <si>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</si>
  <si>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</si>
  <si>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</si>
  <si>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</si>
  <si>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</si>
  <si>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</si>
  <si>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</si>
  <si>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</si>
  <si>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</si>
  <si>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</si>
  <si>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</si>
  <si>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</si>
  <si>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</si>
  <si>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</si>
  <si>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</si>
  <si>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</si>
  <si>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</si>
  <si>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</si>
  <si>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</si>
  <si>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</si>
  <si>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</si>
  <si>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</si>
  <si>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</si>
  <si>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</si>
  <si>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</si>
  <si>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</si>
  <si>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</si>
  <si>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</si>
  <si>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</si>
  <si>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</si>
  <si>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</si>
  <si>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</si>
  <si>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</si>
  <si>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</si>
  <si>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</si>
  <si>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</si>
  <si>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</si>
  <si>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</si>
  <si>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</si>
  <si>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</si>
  <si>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</si>
  <si>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</si>
  <si>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</si>
  <si>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</si>
  <si>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</si>
  <si>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</si>
  <si>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</si>
  <si>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</si>
  <si>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</si>
  <si>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</si>
  <si>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</si>
  <si>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</si>
  <si>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</si>
  <si>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</si>
  <si>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</si>
  <si>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</si>
  <si>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</si>
  <si>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</si>
  <si>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</si>
  <si>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</si>
  <si>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</si>
  <si>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</si>
  <si>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</si>
  <si>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</si>
  <si>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</si>
  <si>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</si>
  <si>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</si>
  <si>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</si>
  <si>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</si>
  <si>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</si>
  <si>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</si>
  <si>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</si>
  <si>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</si>
  <si>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</si>
  <si>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</si>
  <si>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</si>
  <si>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</si>
  <si>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</si>
  <si>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</si>
  <si>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</si>
  <si>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</si>
  <si>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</si>
  <si>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</si>
  <si>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</si>
  <si>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</si>
  <si>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</si>
  <si>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</si>
  <si>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</si>
  <si>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</si>
  <si>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</si>
  <si>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</si>
  <si>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</si>
  <si>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</si>
  <si>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</si>
  <si>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</si>
  <si>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</si>
  <si>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</si>
  <si>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</si>
  <si>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</si>
  <si>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</si>
  <si>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</si>
  <si>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</si>
  <si>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</si>
  <si>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</si>
  <si>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</si>
  <si>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</si>
  <si>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</si>
  <si>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</si>
  <si>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</si>
  <si>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</si>
  <si>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</si>
  <si>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</si>
  <si>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</si>
  <si>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</si>
  <si>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</si>
  <si>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</si>
  <si>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</si>
  <si>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</si>
  <si>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</si>
  <si>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</si>
  <si>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</si>
  <si>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</si>
  <si>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</si>
  <si>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</si>
  <si>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</si>
  <si>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</si>
  <si>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</si>
  <si>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</si>
  <si>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</si>
  <si>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</si>
  <si>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</si>
  <si>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</si>
  <si>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</si>
  <si>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</si>
  <si>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</si>
  <si>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</si>
  <si>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</si>
  <si>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</si>
  <si>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</si>
  <si>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</si>
  <si>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</si>
  <si>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</si>
  <si>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</si>
  <si>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</si>
  <si>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</si>
  <si>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</si>
  <si>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</si>
  <si>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</si>
  <si>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</si>
  <si>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</si>
  <si>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</si>
  <si>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</si>
  <si>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</si>
  <si>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</si>
  <si>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</si>
  <si>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</si>
  <si>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</si>
  <si>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</si>
  <si>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</si>
  <si>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</si>
  <si>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</si>
  <si>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</si>
  <si>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</si>
  <si>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</si>
  <si>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</si>
  <si>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</si>
  <si>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</si>
  <si>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</si>
  <si>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</si>
  <si>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</si>
  <si>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</si>
  <si>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</si>
  <si>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</si>
  <si>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</si>
  <si>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</si>
  <si>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</si>
  <si>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</si>
  <si>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</si>
  <si>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</si>
  <si>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</si>
  <si>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</si>
  <si>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</si>
  <si>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</si>
  <si>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</si>
  <si>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</si>
  <si>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</si>
  <si>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</si>
  <si>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</si>
  <si>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</si>
  <si>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</si>
  <si>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</si>
  <si>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</si>
  <si>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</si>
  <si>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</si>
  <si>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</si>
  <si>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</si>
  <si>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</si>
  <si>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</si>
  <si>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</si>
  <si>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</si>
  <si>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</si>
  <si>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</si>
  <si>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</si>
  <si>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</si>
  <si>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</si>
  <si>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</si>
  <si>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</si>
  <si>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</si>
  <si>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</si>
  <si>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</si>
  <si>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</si>
  <si>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</si>
  <si>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</si>
  <si>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</si>
  <si>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</si>
  <si>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</si>
  <si>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</si>
  <si>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</si>
  <si>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</si>
  <si>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</si>
  <si>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</si>
  <si>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</si>
  <si>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</si>
  <si>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</si>
  <si>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</si>
  <si>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</si>
  <si>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</si>
  <si>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</si>
  <si>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</si>
  <si>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</si>
  <si>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</si>
  <si>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</si>
  <si>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</si>
  <si>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</si>
  <si>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</si>
  <si>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</si>
  <si>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</si>
  <si>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</si>
  <si>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</si>
  <si>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</si>
  <si>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</si>
  <si>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</si>
  <si>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</si>
  <si>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</si>
  <si>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</si>
  <si>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</si>
  <si>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</si>
  <si>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</si>
  <si>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</si>
  <si>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</si>
  <si>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</si>
  <si>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</si>
  <si>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</si>
  <si>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</si>
  <si>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</si>
  <si>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</si>
  <si>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</si>
  <si>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</si>
  <si>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</si>
  <si>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</si>
  <si>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</si>
  <si>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</si>
  <si>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</si>
  <si>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</si>
  <si>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</si>
  <si>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</si>
  <si>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</si>
  <si>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</si>
  <si>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</si>
  <si>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</si>
  <si>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</si>
  <si>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</si>
  <si>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</si>
  <si>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</si>
  <si>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</si>
  <si>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</si>
  <si>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</si>
  <si>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</si>
  <si>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</si>
  <si>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</si>
  <si>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</si>
  <si>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</si>
  <si>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</si>
  <si>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</si>
  <si>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</si>
  <si>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</si>
  <si>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</si>
  <si>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</si>
  <si>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</si>
  <si>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</si>
  <si>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</si>
  <si>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</si>
  <si>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</si>
  <si>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</si>
  <si>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</si>
  <si>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</si>
  <si>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</si>
  <si>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</si>
  <si>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</si>
  <si>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</si>
  <si>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</si>
  <si>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</si>
  <si>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</si>
  <si>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</si>
  <si>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</si>
  <si>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</si>
  <si>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</si>
  <si>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</si>
  <si>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</si>
  <si>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</si>
  <si>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</si>
  <si>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</si>
  <si>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</si>
  <si>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</si>
  <si>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</si>
  <si>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</si>
  <si>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</si>
  <si>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</si>
  <si>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</si>
  <si>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</si>
  <si>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</si>
  <si>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</si>
  <si>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</si>
  <si>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</si>
  <si>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</si>
  <si>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</si>
  <si>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</si>
  <si>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</si>
  <si>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</si>
  <si>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</si>
  <si>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</si>
  <si>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</si>
  <si>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</si>
  <si>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</si>
  <si>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</si>
  <si>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</si>
  <si>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</si>
  <si>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</si>
  <si>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</si>
  <si>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</si>
  <si>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</si>
  <si>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</si>
  <si>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</si>
  <si>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</si>
  <si>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</si>
  <si>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</si>
  <si>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</si>
  <si>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</si>
  <si>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</si>
  <si>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</si>
  <si>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</si>
  <si>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</si>
  <si>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</si>
  <si>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</si>
  <si>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</si>
  <si>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</si>
  <si>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</si>
  <si>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</si>
  <si>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</si>
  <si>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</si>
  <si>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</si>
  <si>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</si>
  <si>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</si>
  <si>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</si>
  <si>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</si>
  <si>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</si>
  <si>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</si>
  <si>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</si>
  <si>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</si>
  <si>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</si>
  <si>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</si>
  <si>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</si>
  <si>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</si>
  <si>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</si>
  <si>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</si>
  <si>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</si>
  <si>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</si>
  <si>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</si>
  <si>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</si>
  <si>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</si>
  <si>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</si>
  <si>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</si>
  <si>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</si>
  <si>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</si>
  <si>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</si>
  <si>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</si>
  <si>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</si>
  <si>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</si>
  <si>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</si>
  <si>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</si>
  <si>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</si>
  <si>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</si>
  <si>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</si>
  <si>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</si>
  <si>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</si>
  <si>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</si>
  <si>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</si>
  <si>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</si>
  <si>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</si>
  <si>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</si>
  <si>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</si>
  <si>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</si>
  <si>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</si>
  <si>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</si>
  <si>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</si>
  <si>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</si>
  <si>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</si>
  <si>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</si>
  <si>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</si>
  <si>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</si>
  <si>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</si>
  <si>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</si>
  <si>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</si>
  <si>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</si>
  <si>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</si>
  <si>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</si>
  <si>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</si>
  <si>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</si>
  <si>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</si>
  <si>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</si>
  <si>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</si>
  <si>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</si>
  <si>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</si>
  <si>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</si>
  <si>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</si>
  <si>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</si>
  <si>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</si>
  <si>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</si>
  <si>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</si>
  <si>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</si>
  <si>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</si>
  <si>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</si>
  <si>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</si>
  <si>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</si>
  <si>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</si>
  <si>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</si>
  <si>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</si>
  <si>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</si>
  <si>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</si>
  <si>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</si>
  <si>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</si>
  <si>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</si>
  <si>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</si>
  <si>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</si>
  <si>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</si>
  <si>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</si>
  <si>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</si>
  <si>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</si>
  <si>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</si>
  <si>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</si>
  <si>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</si>
  <si>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</si>
  <si>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</si>
  <si>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</si>
  <si>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</si>
  <si>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</si>
  <si>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</si>
  <si>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</si>
  <si>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</si>
  <si>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</si>
  <si>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</si>
  <si>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</si>
  <si>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</si>
  <si>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</si>
  <si>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</si>
  <si>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</si>
  <si>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</si>
  <si>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</si>
  <si>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</si>
  <si>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</si>
  <si>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</si>
  <si>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</si>
  <si>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</si>
  <si>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</si>
  <si>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</si>
  <si>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</si>
  <si>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</si>
  <si>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</si>
  <si>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</si>
  <si>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</si>
  <si>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</si>
  <si>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</si>
  <si>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</si>
  <si>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</si>
  <si>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</si>
  <si>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</si>
  <si>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</si>
  <si>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</si>
  <si>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</si>
  <si>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</si>
  <si>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</si>
  <si>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</si>
  <si>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</si>
  <si>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</si>
  <si>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</si>
  <si>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</si>
  <si>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</si>
  <si>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</si>
  <si>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</si>
  <si>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</si>
  <si>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</si>
  <si>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</si>
  <si>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</si>
  <si>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</si>
  <si>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</si>
  <si>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</si>
  <si>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</si>
  <si>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</si>
  <si>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</si>
  <si>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</si>
  <si>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</si>
  <si>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</si>
  <si>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</si>
  <si>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</si>
  <si>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</si>
  <si>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</si>
  <si>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</si>
  <si>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</si>
  <si>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</si>
  <si>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</si>
  <si>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</si>
  <si>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</si>
  <si>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</si>
  <si>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</si>
  <si>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</si>
  <si>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</si>
  <si>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</si>
  <si>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</si>
  <si>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</si>
  <si>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</si>
  <si>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</si>
  <si>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</si>
  <si>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</si>
  <si>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</si>
  <si>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</si>
  <si>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</si>
  <si>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</si>
  <si>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</si>
  <si>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</si>
  <si>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</si>
  <si>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</si>
  <si>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</si>
  <si>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</si>
  <si>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</si>
  <si>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</si>
  <si>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</si>
  <si>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</si>
  <si>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</si>
  <si>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</si>
  <si>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</si>
  <si>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</si>
  <si>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</si>
  <si>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</si>
  <si>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</si>
  <si>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</si>
  <si>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</si>
  <si>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</si>
  <si>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</si>
  <si>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</si>
  <si>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</si>
  <si>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</si>
  <si>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</si>
  <si>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</si>
  <si>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</si>
  <si>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</si>
  <si>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</si>
  <si>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</si>
  <si>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</si>
  <si>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</si>
  <si>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</si>
  <si>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</si>
  <si>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</si>
  <si>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</si>
  <si>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</si>
  <si>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</si>
  <si>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</si>
  <si>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</si>
  <si>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</si>
  <si>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</si>
  <si>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</si>
  <si>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</si>
  <si>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</si>
  <si>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</si>
  <si>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</si>
  <si>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</si>
  <si>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</si>
  <si>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</si>
  <si>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</si>
  <si>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</si>
  <si>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</si>
  <si>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</si>
  <si>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</si>
  <si>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</si>
  <si>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</si>
  <si>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</si>
  <si>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</si>
  <si>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</si>
  <si>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</si>
  <si>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</si>
  <si>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</si>
  <si>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</si>
  <si>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</si>
  <si>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</si>
  <si>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</si>
  <si>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</si>
  <si>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</si>
  <si>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</si>
  <si>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</si>
  <si>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</si>
  <si>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</si>
  <si>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</si>
  <si>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</si>
  <si>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</si>
  <si>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</si>
  <si>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</si>
  <si>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</si>
  <si>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</si>
  <si>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</si>
  <si>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</si>
  <si>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</si>
  <si>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</si>
  <si>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</si>
  <si>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</si>
  <si>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</si>
  <si>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</si>
  <si>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</si>
  <si>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</si>
  <si>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</si>
  <si>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</si>
  <si>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</si>
  <si>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</si>
  <si>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</si>
  <si>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</si>
  <si>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</si>
  <si>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</si>
  <si>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</si>
  <si>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</si>
  <si>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</si>
  <si>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</si>
  <si>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</si>
  <si>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</si>
  <si>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</si>
  <si>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</si>
  <si>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</si>
  <si>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</si>
  <si>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</si>
  <si>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</si>
  <si>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</si>
  <si>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</si>
  <si>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</si>
  <si>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</si>
  <si>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</si>
  <si>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</si>
  <si>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</si>
  <si>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</si>
  <si>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</si>
  <si>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</si>
  <si>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</si>
  <si>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</si>
  <si>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</si>
  <si>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</si>
  <si>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</si>
  <si>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</si>
  <si>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</si>
  <si>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</si>
  <si>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</si>
  <si>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</si>
  <si>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</si>
  <si>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</si>
  <si>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</si>
  <si>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</si>
  <si>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</si>
  <si>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</si>
  <si>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</si>
  <si>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</si>
  <si>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</si>
  <si>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</si>
  <si>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</si>
  <si>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</si>
  <si>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</si>
  <si>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</si>
  <si>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</si>
  <si>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</si>
  <si>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</si>
  <si>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</si>
  <si>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</si>
  <si>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</si>
  <si>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</si>
  <si>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</si>
  <si>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</si>
  <si>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</si>
  <si>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</si>
  <si>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</si>
  <si>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</si>
  <si>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</si>
  <si>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</si>
  <si>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</si>
  <si>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</si>
  <si>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</si>
  <si>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</si>
  <si>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</si>
  <si>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</si>
  <si>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</si>
  <si>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</si>
  <si>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</si>
  <si>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</si>
  <si>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</si>
  <si>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</si>
  <si>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</si>
  <si>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</si>
  <si>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</si>
  <si>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</si>
  <si>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</si>
  <si>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</si>
  <si>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</si>
  <si>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</si>
  <si>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</si>
  <si>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</si>
  <si>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</si>
  <si>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</si>
  <si>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</si>
  <si>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</si>
  <si>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</si>
  <si>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</si>
  <si>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</si>
  <si>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</si>
  <si>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</si>
  <si>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</si>
  <si>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</si>
  <si>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</si>
  <si>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</si>
  <si>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</si>
  <si>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</si>
  <si>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</si>
  <si>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</si>
  <si>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</si>
  <si>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</si>
  <si>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</si>
  <si>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</si>
  <si>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</si>
  <si>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</si>
  <si>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</si>
  <si>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</si>
  <si>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</si>
  <si>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</si>
  <si>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</si>
  <si>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</si>
  <si>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</si>
  <si>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</si>
  <si>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</si>
  <si>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</si>
  <si>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</si>
  <si>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</si>
  <si>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</si>
  <si>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</si>
  <si>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</si>
  <si>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</si>
  <si>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</si>
  <si>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</si>
  <si>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</si>
  <si>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</si>
  <si>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</si>
  <si>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</si>
  <si>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</si>
  <si>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</si>
  <si>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</si>
  <si>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</si>
  <si>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</si>
  <si>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</si>
  <si>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</si>
  <si>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</si>
  <si>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</si>
  <si>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</si>
  <si>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</si>
  <si>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</si>
  <si>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</si>
  <si>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</si>
  <si>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</si>
  <si>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</si>
  <si>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</si>
  <si>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</si>
  <si>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</si>
  <si>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</si>
  <si>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</si>
  <si>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</si>
  <si>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</si>
  <si>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</si>
  <si>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</si>
  <si>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</si>
  <si>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</si>
  <si>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</si>
  <si>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</si>
  <si>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</si>
  <si>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</si>
  <si>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</si>
  <si>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</si>
  <si>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</si>
  <si>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</si>
  <si>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</si>
  <si>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</si>
  <si>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</si>
  <si>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</si>
  <si>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</si>
  <si>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</si>
  <si>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</si>
  <si>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</si>
  <si>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</si>
  <si>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</si>
  <si>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</si>
  <si>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</si>
  <si>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</si>
  <si>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</si>
  <si>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</si>
  <si>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</si>
  <si>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</si>
  <si>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</si>
  <si>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</si>
  <si>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</si>
  <si>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</si>
  <si>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</si>
  <si>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</si>
  <si>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</si>
  <si>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</si>
  <si>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</si>
  <si>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</si>
  <si>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</si>
  <si>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</si>
  <si>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</si>
  <si>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</si>
  <si>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</si>
  <si>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</si>
  <si>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</si>
  <si>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</si>
  <si>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</si>
  <si>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</si>
  <si>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</si>
  <si>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</si>
  <si>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</si>
  <si>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</si>
  <si>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</si>
  <si>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</si>
  <si>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</si>
  <si>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</si>
  <si>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</si>
  <si>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</si>
  <si>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</si>
  <si>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</si>
  <si>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</si>
  <si>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</si>
  <si>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</si>
  <si>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</si>
  <si>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</si>
  <si>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</si>
  <si>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</si>
  <si>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</si>
  <si>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</si>
  <si>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</si>
  <si>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</si>
  <si>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</si>
  <si>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</si>
  <si>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</si>
  <si>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</si>
  <si>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</si>
  <si>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</si>
  <si>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</si>
  <si>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</si>
  <si>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</si>
  <si>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</si>
  <si>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</si>
  <si>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</si>
  <si>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</si>
  <si>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</si>
  <si>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</si>
  <si>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</si>
  <si>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</si>
  <si>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</si>
  <si>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</si>
  <si>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</si>
  <si>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</si>
  <si>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</si>
  <si>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</si>
  <si>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</si>
  <si>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</si>
  <si>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</si>
  <si>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</si>
  <si>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</si>
  <si>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</si>
  <si>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</si>
  <si>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</si>
  <si>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</si>
  <si>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</si>
  <si>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</si>
  <si>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</si>
  <si>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</si>
  <si>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</si>
  <si>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</si>
  <si>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</si>
  <si>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</si>
  <si>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</si>
  <si>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</si>
  <si>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</si>
  <si>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</si>
  <si>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</si>
  <si>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</si>
  <si>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</si>
  <si>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</si>
  <si>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</si>
  <si>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</si>
  <si>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</si>
  <si>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</si>
  <si>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</si>
  <si>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</si>
  <si>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</si>
  <si>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</si>
  <si>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</si>
  <si>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</si>
  <si>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</si>
  <si>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</si>
  <si>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</si>
  <si>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</si>
  <si>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</si>
  <si>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</si>
  <si>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</si>
  <si>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</si>
  <si>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</si>
  <si>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</si>
  <si>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</si>
  <si>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</si>
  <si>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</si>
  <si>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</si>
  <si>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</si>
  <si>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</si>
  <si>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</si>
  <si>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</si>
  <si>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</si>
  <si>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</si>
  <si>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</si>
  <si>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</si>
  <si>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</si>
  <si>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</si>
  <si>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</si>
  <si>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</si>
  <si>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</si>
  <si>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</si>
  <si>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</si>
  <si>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</si>
  <si>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</si>
  <si>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</si>
  <si>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</si>
  <si>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</si>
  <si>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</si>
  <si>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</si>
  <si>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</si>
  <si>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</si>
  <si>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</si>
  <si>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</si>
  <si>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</si>
  <si>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</si>
  <si>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</si>
  <si>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</si>
  <si>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</si>
  <si>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</si>
  <si>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</si>
  <si>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</si>
  <si>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</si>
  <si>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</si>
  <si>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</si>
  <si>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</si>
  <si>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</si>
  <si>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</si>
  <si>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</si>
  <si>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</si>
  <si>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</si>
  <si>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</si>
  <si>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</si>
  <si>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</si>
  <si>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</si>
  <si>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</si>
  <si>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</si>
  <si>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</si>
  <si>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</si>
  <si>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</si>
  <si>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</si>
  <si>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</si>
  <si>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</si>
  <si>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</si>
  <si>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</si>
  <si>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</si>
  <si>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</si>
  <si>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</si>
  <si>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</si>
  <si>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</si>
  <si>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</si>
  <si>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</si>
  <si>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</si>
  <si>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</si>
  <si>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</si>
  <si>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</si>
  <si>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</si>
  <si>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</si>
  <si>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</si>
  <si>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</si>
  <si>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</si>
  <si>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</si>
  <si>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</si>
  <si>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</si>
  <si>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</si>
  <si>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</si>
  <si>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</si>
  <si>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</si>
  <si>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</si>
  <si>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</si>
  <si>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</si>
  <si>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</si>
  <si>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</si>
  <si>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</si>
  <si>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</si>
  <si>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</si>
  <si>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</si>
  <si>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</si>
  <si>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</si>
  <si>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</si>
  <si>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</si>
  <si>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</si>
  <si>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</si>
  <si>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</si>
  <si>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</si>
  <si>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</si>
  <si>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</si>
  <si>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</si>
  <si>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</si>
  <si>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</si>
  <si>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</si>
  <si>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</si>
  <si>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</si>
  <si>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</si>
  <si>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</si>
  <si>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</si>
  <si>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</si>
  <si>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</si>
  <si>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</si>
  <si>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</si>
  <si>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</si>
  <si>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</si>
  <si>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</si>
  <si>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</si>
  <si>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</si>
  <si>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</si>
  <si>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</si>
  <si>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</si>
  <si>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</si>
  <si>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</si>
  <si>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</si>
  <si>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</si>
  <si>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</si>
  <si>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</si>
  <si>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</si>
  <si>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</si>
  <si>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</si>
  <si>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</si>
  <si>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</si>
  <si>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</si>
  <si>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</si>
  <si>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</si>
  <si>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</si>
  <si>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</si>
  <si>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</si>
  <si>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</si>
  <si>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</si>
  <si>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</si>
  <si>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</si>
  <si>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</si>
  <si>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</si>
  <si>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</si>
  <si>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</si>
  <si>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</si>
  <si>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</si>
  <si>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</si>
  <si>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</si>
  <si>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</si>
  <si>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</si>
  <si>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</si>
  <si>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</si>
  <si>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</si>
  <si>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</si>
  <si>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</si>
  <si>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</si>
  <si>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</si>
  <si>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</si>
  <si>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</si>
  <si>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</si>
  <si>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</si>
  <si>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</si>
  <si>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</si>
  <si>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</si>
  <si>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</si>
  <si>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</si>
  <si>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</si>
  <si>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</si>
  <si>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</si>
  <si>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</si>
  <si>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</si>
  <si>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</si>
  <si>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</si>
  <si>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</si>
  <si>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</si>
  <si>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</si>
  <si>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</si>
  <si>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</si>
  <si>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</si>
  <si>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</si>
  <si>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</si>
  <si>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</si>
  <si>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</si>
  <si>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</si>
  <si>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</si>
  <si>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</si>
  <si>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</si>
  <si>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</si>
  <si>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</si>
  <si>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</si>
  <si>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</si>
  <si>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</si>
  <si>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</si>
  <si>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</si>
  <si>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</si>
  <si>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</si>
  <si>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</si>
  <si>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</si>
  <si>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</si>
  <si>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</si>
  <si>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</si>
  <si>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</si>
  <si>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</si>
  <si>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</si>
  <si>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</si>
  <si>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</si>
  <si>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</si>
  <si>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</si>
  <si>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</si>
  <si>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</si>
  <si>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</si>
  <si>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</si>
  <si>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</si>
  <si>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</si>
  <si>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</si>
  <si>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</si>
  <si>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</si>
  <si>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</si>
  <si>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</si>
  <si>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</si>
  <si>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</si>
  <si>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</si>
  <si>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</si>
  <si>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</si>
  <si>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</si>
  <si>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</si>
  <si>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</si>
  <si>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</si>
  <si>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</si>
  <si>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</si>
  <si>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</si>
  <si>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</si>
  <si>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</si>
  <si>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</si>
  <si>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</si>
  <si>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</si>
  <si>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</si>
  <si>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</si>
  <si>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</si>
  <si>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</si>
  <si>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</si>
  <si>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</si>
  <si>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</si>
  <si>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</si>
  <si>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</si>
  <si>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</si>
  <si>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</si>
  <si>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</si>
  <si>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</si>
  <si>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</si>
  <si>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</si>
  <si>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</si>
  <si>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</si>
  <si>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</si>
  <si>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</si>
  <si>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</si>
  <si>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</si>
  <si>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</si>
  <si>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</si>
  <si>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</si>
  <si>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</si>
  <si>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</si>
  <si>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</si>
  <si>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</si>
  <si>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</si>
  <si>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</si>
  <si>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</si>
  <si>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</si>
  <si>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</si>
  <si>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</si>
  <si>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</si>
  <si>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</si>
  <si>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</si>
  <si>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</si>
  <si>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</si>
  <si>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</si>
  <si>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</si>
  <si>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</si>
  <si>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</si>
  <si>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</si>
  <si>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</si>
  <si>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</si>
  <si>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</si>
  <si>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</si>
  <si>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</si>
  <si>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</si>
  <si>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</si>
  <si>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</si>
  <si>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</si>
  <si>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</si>
  <si>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</si>
  <si>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</si>
  <si>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</si>
  <si>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</si>
  <si>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</si>
  <si>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</si>
  <si>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</si>
  <si>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</si>
  <si>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</si>
  <si>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</si>
  <si>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</si>
  <si>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</si>
  <si>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</si>
  <si>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</si>
  <si>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</si>
  <si>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</si>
  <si>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</si>
  <si>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</si>
  <si>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</si>
  <si>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</si>
  <si>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</si>
  <si>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</si>
  <si>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</si>
  <si>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</si>
  <si>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</si>
  <si>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</si>
  <si>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</si>
  <si>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</si>
  <si>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</si>
  <si>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</si>
  <si>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</si>
  <si>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</si>
  <si>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</si>
  <si>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</si>
  <si>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</si>
  <si>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</si>
  <si>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</si>
  <si>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</si>
  <si>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</si>
  <si>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</si>
  <si>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</si>
  <si>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</si>
  <si>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</si>
  <si>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</si>
  <si>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</si>
  <si>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</si>
  <si>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</si>
  <si>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</si>
  <si>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</si>
  <si>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</si>
  <si>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</si>
  <si>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</si>
  <si>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</si>
  <si>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</si>
  <si>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</si>
  <si>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</si>
  <si>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</si>
  <si>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</si>
  <si>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</si>
  <si>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</si>
  <si>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</si>
  <si>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</si>
  <si>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</si>
  <si>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</si>
  <si>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</si>
  <si>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</si>
  <si>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</si>
  <si>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</si>
  <si>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</si>
  <si>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</si>
  <si>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</si>
  <si>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</si>
  <si>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</si>
  <si>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</si>
  <si>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</si>
  <si>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</si>
  <si>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</si>
  <si>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</si>
  <si>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</si>
  <si>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</si>
  <si>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</si>
  <si>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</si>
  <si>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</si>
  <si>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</si>
  <si>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</si>
  <si>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</si>
  <si>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</si>
  <si>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</si>
  <si>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</si>
  <si>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</si>
  <si>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</si>
  <si>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</si>
  <si>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</si>
  <si>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</si>
  <si>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</si>
  <si>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</si>
  <si>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</si>
  <si>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</si>
  <si>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</si>
  <si>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</si>
  <si>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</si>
  <si>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</si>
  <si>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</si>
  <si>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</si>
  <si>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</si>
  <si>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</si>
  <si>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</si>
  <si>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</si>
  <si>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</si>
  <si>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</si>
  <si>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</si>
  <si>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</si>
  <si>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</si>
  <si>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</si>
  <si>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</si>
  <si>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</si>
  <si>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</si>
  <si>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</si>
  <si>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</si>
  <si>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</si>
  <si>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</si>
  <si>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</si>
  <si>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</si>
  <si>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</si>
  <si>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</si>
  <si>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</si>
  <si>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</si>
  <si>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</si>
  <si>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</si>
  <si>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</si>
  <si>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</si>
  <si>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</si>
  <si>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</si>
  <si>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</si>
  <si>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</si>
  <si>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</si>
  <si>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</si>
  <si>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</si>
  <si>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</si>
  <si>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</si>
  <si>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</si>
  <si>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</si>
  <si>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</si>
  <si>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</si>
  <si>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</si>
  <si>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</si>
  <si>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</si>
  <si>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</si>
  <si>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</si>
  <si>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</si>
  <si>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</si>
  <si>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</si>
  <si>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</si>
  <si>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</si>
  <si>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</si>
  <si>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</si>
  <si>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</si>
  <si>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</si>
  <si>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</si>
  <si>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</si>
  <si>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</si>
  <si>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</si>
  <si>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</si>
  <si>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</si>
  <si>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</si>
  <si>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</si>
  <si>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</si>
  <si>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</si>
  <si>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</si>
  <si>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</si>
  <si>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</si>
  <si>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</si>
  <si>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</si>
  <si>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</si>
  <si>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</si>
  <si>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</si>
  <si>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</si>
  <si>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</si>
  <si>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</si>
  <si>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</si>
  <si>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</si>
  <si>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</si>
  <si>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</si>
  <si>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</si>
  <si>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</si>
  <si>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</si>
  <si>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</si>
  <si>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</si>
  <si>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</si>
  <si>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</si>
  <si>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</si>
  <si>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</si>
  <si>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</si>
  <si>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</si>
  <si>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</si>
  <si>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</si>
  <si>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</si>
  <si>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</si>
  <si>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</si>
  <si>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</si>
  <si>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</si>
  <si>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</si>
  <si>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</si>
  <si>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</si>
  <si>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</si>
  <si>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</si>
  <si>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</si>
  <si>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</si>
  <si>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</si>
  <si>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</si>
  <si>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</si>
  <si>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</si>
  <si>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</si>
  <si>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</si>
  <si>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</si>
  <si>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</si>
  <si>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</si>
  <si>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</si>
  <si>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</si>
  <si>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</si>
  <si>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</si>
  <si>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</si>
  <si>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</si>
  <si>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</si>
  <si>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</si>
  <si>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</si>
  <si>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</si>
  <si>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</si>
  <si>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</si>
  <si>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</si>
  <si>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</si>
  <si>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</si>
  <si>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</si>
  <si>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</si>
  <si>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</si>
  <si>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</si>
  <si>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</si>
  <si>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</si>
  <si>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</si>
  <si>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</si>
  <si>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</si>
  <si>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</si>
  <si>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</si>
  <si>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</si>
  <si>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</si>
  <si>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</si>
  <si>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</si>
  <si>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</si>
  <si>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</si>
  <si>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</si>
  <si>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</si>
  <si>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</si>
  <si>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</si>
  <si>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</si>
  <si>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</si>
  <si>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</si>
  <si>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</si>
  <si>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</si>
  <si>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</si>
  <si>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</si>
  <si>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</si>
  <si>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</si>
  <si>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</si>
  <si>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</si>
  <si>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</si>
  <si>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</si>
  <si>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</si>
  <si>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</si>
  <si>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</si>
  <si>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</si>
  <si>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</si>
  <si>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</si>
  <si>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</si>
  <si>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</si>
  <si>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</si>
  <si>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</si>
  <si>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</si>
  <si>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</si>
  <si>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</si>
  <si>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</si>
  <si>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</si>
  <si>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</si>
  <si>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</si>
  <si>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</si>
  <si>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</si>
  <si>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</si>
  <si>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</si>
  <si>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</si>
  <si>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</si>
  <si>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</si>
  <si>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</si>
  <si>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</si>
  <si>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</si>
  <si>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</si>
  <si>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</si>
  <si>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</si>
  <si>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</si>
  <si>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</si>
  <si>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</si>
  <si>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</si>
  <si>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</si>
  <si>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</si>
  <si>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</si>
  <si>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</si>
  <si>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</si>
  <si>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</si>
  <si>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</si>
  <si>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</si>
  <si>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</si>
  <si>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</si>
  <si>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</si>
  <si>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</si>
  <si>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</si>
  <si>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</si>
  <si>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</si>
  <si>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</si>
  <si>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</si>
  <si>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</si>
  <si>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</si>
  <si>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</si>
  <si>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</si>
  <si>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</si>
  <si>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</si>
  <si>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</si>
  <si>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</si>
  <si>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</si>
  <si>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</si>
  <si>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</si>
  <si>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</si>
  <si>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</si>
  <si>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</si>
  <si>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</si>
  <si>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</si>
  <si>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</si>
  <si>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</si>
  <si>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</si>
  <si>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</si>
  <si>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</si>
  <si>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</si>
  <si>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</si>
  <si>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</si>
  <si>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</si>
  <si>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</si>
  <si>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</si>
  <si>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</si>
  <si>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</si>
  <si>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</si>
  <si>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</si>
  <si>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</si>
  <si>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</si>
  <si>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</si>
  <si>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</si>
  <si>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</si>
  <si>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</si>
  <si>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</si>
  <si>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</si>
  <si>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</si>
  <si>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</si>
  <si>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</si>
  <si>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</si>
  <si>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</si>
  <si>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</si>
  <si>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</si>
  <si>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</si>
  <si>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</si>
  <si>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</si>
  <si>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</si>
  <si>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</si>
  <si>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</si>
  <si>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</si>
  <si>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</si>
  <si>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</si>
  <si>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</si>
  <si>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</si>
  <si>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</si>
  <si>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</si>
  <si>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</si>
  <si>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</si>
  <si>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</si>
  <si>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</si>
  <si>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</si>
  <si>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</si>
  <si>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</si>
  <si>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</si>
  <si>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</si>
  <si>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</si>
  <si>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</si>
  <si>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</si>
  <si>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</si>
  <si>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</si>
  <si>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</si>
  <si>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</si>
  <si>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</si>
  <si>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</si>
  <si>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</si>
  <si>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</si>
  <si>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</si>
  <si>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</si>
  <si>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</si>
  <si>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</si>
  <si>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</si>
  <si>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</si>
  <si>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</si>
  <si>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</si>
  <si>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</si>
  <si>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</si>
  <si>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</si>
  <si>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</si>
  <si>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</si>
  <si>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</si>
  <si>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</si>
  <si>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</si>
  <si>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</si>
  <si>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</si>
  <si>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</si>
  <si>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</si>
  <si>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</si>
  <si>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</si>
  <si>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</si>
  <si>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</si>
  <si>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</si>
  <si>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</si>
  <si>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</si>
  <si>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</si>
  <si>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</si>
  <si>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</si>
  <si>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</si>
  <si>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</si>
  <si>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</si>
  <si>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</si>
  <si>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</si>
  <si>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</si>
  <si>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</si>
  <si>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</si>
  <si>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</si>
  <si>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</si>
  <si>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</si>
  <si>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</si>
  <si>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</si>
  <si>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</si>
  <si>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</si>
  <si>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</si>
  <si>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</si>
  <si>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</si>
  <si>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</si>
  <si>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</si>
  <si>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</si>
  <si>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</si>
  <si>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</si>
  <si>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</si>
  <si>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</si>
  <si>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</si>
  <si>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</si>
  <si>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</si>
  <si>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</si>
  <si>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</si>
  <si>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</si>
  <si>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</si>
  <si>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</si>
  <si>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</si>
  <si>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</si>
  <si>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</si>
  <si>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</si>
  <si>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</si>
  <si>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</si>
  <si>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</si>
  <si>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</si>
  <si>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</si>
  <si>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</si>
  <si>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</si>
  <si>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</si>
  <si>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</si>
  <si>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</si>
  <si>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</si>
  <si>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</si>
  <si>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</si>
  <si>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</si>
  <si>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</si>
  <si>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</si>
  <si>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</si>
  <si>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</si>
  <si>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</si>
  <si>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</si>
  <si>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</si>
  <si>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</si>
  <si>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</si>
  <si>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</si>
  <si>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</si>
  <si>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</si>
  <si>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</si>
  <si>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</si>
  <si>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</si>
  <si>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</si>
  <si>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</si>
  <si>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</si>
  <si>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</si>
  <si>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</si>
  <si>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</si>
  <si>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</si>
  <si>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</si>
  <si>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</si>
  <si>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</si>
  <si>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</si>
  <si>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</si>
  <si>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</si>
  <si>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</si>
  <si>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</si>
  <si>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</si>
  <si>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</si>
  <si>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</si>
  <si>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</si>
  <si>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</si>
  <si>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</si>
  <si>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</si>
  <si>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</si>
  <si>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</si>
  <si>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</si>
  <si>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</si>
  <si>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</si>
  <si>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</si>
  <si>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</si>
  <si>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</si>
  <si>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</si>
  <si>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</si>
  <si>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</si>
  <si>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</si>
  <si>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</si>
  <si>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</si>
  <si>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</si>
  <si>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</si>
  <si>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</si>
  <si>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</si>
  <si>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</si>
  <si>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</si>
  <si>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</si>
  <si>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</si>
  <si>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</si>
  <si>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</si>
  <si>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</si>
  <si>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</si>
  <si>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</si>
  <si>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</si>
  <si>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</si>
  <si>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</si>
  <si>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</si>
  <si>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</si>
  <si>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</si>
  <si>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</si>
  <si>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</si>
  <si>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</si>
  <si>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</si>
  <si>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</si>
  <si>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</si>
  <si>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</si>
  <si>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</si>
  <si>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</si>
  <si>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</si>
  <si>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</si>
  <si>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</si>
  <si>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</si>
  <si>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</si>
  <si>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</si>
  <si>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</si>
  <si>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</si>
  <si>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</si>
  <si>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</si>
  <si>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</si>
  <si>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</si>
  <si>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</si>
  <si>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</si>
  <si>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</si>
  <si>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</si>
  <si>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</si>
  <si>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</si>
  <si>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</si>
  <si>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</si>
  <si>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</si>
  <si>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</si>
  <si>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</si>
  <si>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</si>
  <si>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</si>
  <si>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</si>
  <si>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</si>
  <si>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</si>
  <si>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</si>
  <si>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</si>
  <si>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</si>
  <si>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</si>
  <si>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</si>
  <si>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</si>
  <si>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</si>
  <si>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</si>
  <si>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</si>
  <si>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</si>
  <si>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</si>
  <si>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</si>
  <si>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</si>
  <si>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</si>
  <si>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</si>
  <si>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</si>
  <si>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</si>
  <si>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</si>
  <si>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</si>
  <si>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</si>
  <si>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</si>
  <si>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</si>
  <si>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</si>
  <si>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</si>
  <si>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</si>
  <si>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</si>
  <si>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</si>
  <si>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</si>
  <si>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</si>
  <si>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</si>
  <si>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</si>
  <si>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</si>
  <si>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</si>
  <si>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</si>
  <si>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</si>
  <si>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</si>
  <si>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</si>
  <si>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</si>
  <si>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</si>
  <si>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</si>
  <si>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</si>
  <si>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</si>
  <si>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</si>
  <si>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</si>
  <si>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</si>
  <si>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</si>
  <si>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</si>
  <si>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</si>
  <si>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</si>
  <si>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</si>
  <si>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</si>
  <si>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</si>
  <si>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</si>
  <si>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</si>
  <si>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</si>
  <si>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</si>
  <si>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</si>
  <si>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</si>
  <si>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</si>
  <si>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</si>
  <si>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</si>
  <si>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</si>
  <si>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</si>
  <si>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</si>
  <si>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</si>
  <si>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</si>
  <si>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</si>
  <si>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</si>
  <si>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</si>
  <si>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</si>
  <si>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</si>
  <si>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</si>
  <si>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</si>
  <si>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</si>
  <si>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</si>
  <si>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</si>
  <si>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</si>
  <si>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</si>
  <si>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</si>
  <si>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</si>
  <si>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</si>
  <si>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</si>
  <si>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</si>
  <si>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</si>
  <si>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</si>
  <si>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</si>
  <si>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</si>
  <si>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</si>
  <si>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</si>
  <si>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</si>
  <si>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</si>
  <si>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</si>
  <si>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</si>
  <si>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</si>
  <si>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</si>
  <si>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</si>
  <si>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</si>
  <si>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</si>
  <si>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</si>
  <si>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</si>
  <si>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</si>
  <si>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</si>
  <si>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</si>
  <si>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</si>
  <si>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</si>
  <si>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</si>
  <si>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</si>
  <si>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</si>
  <si>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</si>
  <si>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</si>
  <si>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</si>
  <si>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</si>
  <si>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</si>
  <si>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</si>
  <si>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</si>
  <si>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</si>
  <si>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</si>
  <si>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</si>
  <si>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</si>
  <si>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</si>
  <si>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</si>
  <si>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</si>
  <si>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</si>
  <si>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</si>
  <si>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</si>
  <si>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</si>
  <si>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</si>
  <si>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</si>
  <si>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</si>
  <si>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</si>
  <si>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</si>
  <si>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</si>
  <si>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</si>
  <si>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</si>
  <si>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</si>
  <si>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</si>
  <si>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</si>
  <si>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</si>
  <si>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</si>
  <si>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</si>
  <si>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</si>
  <si>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</si>
  <si>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</si>
  <si>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</si>
  <si>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</si>
  <si>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</si>
  <si>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</si>
  <si>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</si>
  <si>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</si>
  <si>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</si>
  <si>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</si>
  <si>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</si>
  <si>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</si>
  <si>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</si>
  <si>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</si>
  <si>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</si>
  <si>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</si>
  <si>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</si>
  <si>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</si>
  <si>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</si>
  <si>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</si>
  <si>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</si>
  <si>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</si>
  <si>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</si>
  <si>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</si>
  <si>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</si>
  <si>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</si>
  <si>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</si>
  <si>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</si>
  <si>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</si>
  <si>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</si>
  <si>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</si>
  <si>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</si>
  <si>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</si>
  <si>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</si>
  <si>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</si>
  <si>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</si>
  <si>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</si>
  <si>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</si>
  <si>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</si>
  <si>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</si>
  <si>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</si>
  <si>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</si>
  <si>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</si>
  <si>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</si>
  <si>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</si>
  <si>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</si>
  <si>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</si>
  <si>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</si>
  <si>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</si>
  <si>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</si>
  <si>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</si>
  <si>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</si>
  <si>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</si>
  <si>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</si>
  <si>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</si>
  <si>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</si>
  <si>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</si>
  <si>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</si>
  <si>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</si>
  <si>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</si>
  <si>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</si>
  <si>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</si>
  <si>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</si>
  <si>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</si>
  <si>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</si>
  <si>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</si>
  <si>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</si>
  <si>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</si>
  <si>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</si>
  <si>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</si>
  <si>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</si>
  <si>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</si>
  <si>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</si>
  <si>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</si>
  <si>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</si>
  <si>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</si>
  <si>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</si>
  <si>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</si>
  <si>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</si>
  <si>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</si>
  <si>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</si>
  <si>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</si>
  <si>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</si>
  <si>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</si>
  <si>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</si>
  <si>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</si>
  <si>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</si>
  <si>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</si>
  <si>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</si>
  <si>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</si>
  <si>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</si>
  <si>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</si>
  <si>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</si>
  <si>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</si>
  <si>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</si>
  <si>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</si>
  <si>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</si>
  <si>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</si>
  <si>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</si>
  <si>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</si>
  <si>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</si>
  <si>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</si>
  <si>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</si>
  <si>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</si>
  <si>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</si>
  <si>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</si>
  <si>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</si>
  <si>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</si>
  <si>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</si>
  <si>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</si>
  <si>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</si>
  <si>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</si>
  <si>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</si>
  <si>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</si>
  <si>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</si>
  <si>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</si>
  <si>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</si>
  <si>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</si>
  <si>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</si>
  <si>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</si>
  <si>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</si>
  <si>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</si>
  <si>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</si>
  <si>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</si>
  <si>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</si>
  <si>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</si>
  <si>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</si>
  <si>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</si>
  <si>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</si>
  <si>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</si>
  <si>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</si>
  <si>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</si>
  <si>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</si>
  <si>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</si>
  <si>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</si>
  <si>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</si>
  <si>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</si>
  <si>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</si>
  <si>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</si>
  <si>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</si>
  <si>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</si>
  <si>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</si>
  <si>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</si>
  <si>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</si>
  <si>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</si>
  <si>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</si>
  <si>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</si>
  <si>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</si>
  <si>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</si>
  <si>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</si>
  <si>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</si>
  <si>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</si>
  <si>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</si>
  <si>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</si>
  <si>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</si>
  <si>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</si>
  <si>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</si>
  <si>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</si>
  <si>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</si>
  <si>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</si>
  <si>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</si>
  <si>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</si>
  <si>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</si>
  <si>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</si>
  <si>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</si>
  <si>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</si>
  <si>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</si>
  <si>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</si>
  <si>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</si>
  <si>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</si>
  <si>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</si>
  <si>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</si>
  <si>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</si>
  <si>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</si>
  <si>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</si>
  <si>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</si>
  <si>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</si>
  <si>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</si>
  <si>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</si>
  <si>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</si>
  <si>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</si>
  <si>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</si>
  <si>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</si>
  <si>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</si>
  <si>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</si>
  <si>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</si>
  <si>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</si>
  <si>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</si>
  <si>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</si>
  <si>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</si>
  <si>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</si>
  <si>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</si>
  <si>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</si>
  <si>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</si>
  <si>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</si>
  <si>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</si>
  <si>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</si>
  <si>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</si>
  <si>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</si>
  <si>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</si>
  <si>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</si>
  <si>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</si>
  <si>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</si>
  <si>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</si>
  <si>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</si>
  <si>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</si>
  <si>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</si>
  <si>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</si>
  <si>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</si>
  <si>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</si>
  <si>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</si>
  <si>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</si>
  <si>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</si>
  <si>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</si>
  <si>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</si>
  <si>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</si>
  <si>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</si>
  <si>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</si>
  <si>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</si>
  <si>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</si>
  <si>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</si>
  <si>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</si>
  <si>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</si>
  <si>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</si>
  <si>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</si>
  <si>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</si>
  <si>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</si>
  <si>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</si>
  <si>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</si>
  <si>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</si>
  <si>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</si>
  <si>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</si>
  <si>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</si>
  <si>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</si>
  <si>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</si>
  <si>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</si>
  <si>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</si>
  <si>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</si>
  <si>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</si>
  <si>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</si>
  <si>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</si>
  <si>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</si>
  <si>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</si>
  <si>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</si>
  <si>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</si>
  <si>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</si>
  <si>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</si>
  <si>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</si>
  <si>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</si>
  <si>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</si>
  <si>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</si>
  <si>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</si>
  <si>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</si>
  <si>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</si>
  <si>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</si>
  <si>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</si>
  <si>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</si>
  <si>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</si>
  <si>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</si>
  <si>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</si>
  <si>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</si>
  <si>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</si>
  <si>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</si>
  <si>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</si>
  <si>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</si>
  <si>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</si>
  <si>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</si>
  <si>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</si>
  <si>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</si>
  <si>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</si>
  <si>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</si>
  <si>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</si>
  <si>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</si>
  <si>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</si>
  <si>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</si>
  <si>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</si>
  <si>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</si>
  <si>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</si>
  <si>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</si>
  <si>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</si>
  <si>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</si>
  <si>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</si>
  <si>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</si>
  <si>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</si>
  <si>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</si>
  <si>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</si>
  <si>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</si>
  <si>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</si>
  <si>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</si>
  <si>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</si>
  <si>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</si>
  <si>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</si>
  <si>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</si>
  <si>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</si>
  <si>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</si>
  <si>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</si>
  <si>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</si>
  <si>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</si>
  <si>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</si>
  <si>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</si>
  <si>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</si>
  <si>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</si>
  <si>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</si>
  <si>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</si>
  <si>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</si>
  <si>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</si>
  <si>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</si>
  <si>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</si>
  <si>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</si>
  <si>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</si>
  <si>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</si>
  <si>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</si>
  <si>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</si>
  <si>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</si>
  <si>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</si>
  <si>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</si>
  <si>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</si>
  <si>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</si>
  <si>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</si>
  <si>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</si>
  <si>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</si>
  <si>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</si>
  <si>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</si>
  <si>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</si>
  <si>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</si>
  <si>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</si>
  <si>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</si>
  <si>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</si>
  <si>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</si>
  <si>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</si>
  <si>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</si>
  <si>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</si>
  <si>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</si>
  <si>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</si>
  <si>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</si>
  <si>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</si>
  <si>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</si>
  <si>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</si>
  <si>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</si>
  <si>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</si>
  <si>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</si>
  <si>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</si>
  <si>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</si>
  <si>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</si>
  <si>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</si>
  <si>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</si>
  <si>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</si>
  <si>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</si>
  <si>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</si>
  <si>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</si>
  <si>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</si>
  <si>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</si>
  <si>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</si>
  <si>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</si>
  <si>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</si>
  <si>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</si>
  <si>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</si>
  <si>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</si>
  <si>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</si>
  <si>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</si>
  <si>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</si>
  <si>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</si>
  <si>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</si>
  <si>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</si>
  <si>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</si>
  <si>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</si>
  <si>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</si>
  <si>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</si>
  <si>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</si>
  <si>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</si>
  <si>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</si>
  <si>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</si>
  <si>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</si>
  <si>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</si>
  <si>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</si>
  <si>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</si>
  <si>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</si>
  <si>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</si>
  <si>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</si>
  <si>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</si>
  <si>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</si>
  <si>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</si>
  <si>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</si>
  <si>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</si>
  <si>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</si>
  <si>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</si>
  <si>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</si>
  <si>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</si>
  <si>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</si>
  <si>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</si>
  <si>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</si>
  <si>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</si>
  <si>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</si>
  <si>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</si>
  <si>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</si>
  <si>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</si>
  <si>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</si>
  <si>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</si>
  <si>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</si>
  <si>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</si>
  <si>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</si>
  <si>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</si>
  <si>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</si>
  <si>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</si>
  <si>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</si>
  <si>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</si>
  <si>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</si>
  <si>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</si>
  <si>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</si>
  <si>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</si>
  <si>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</si>
  <si>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</si>
  <si>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</si>
  <si>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</si>
  <si>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</si>
  <si>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</si>
  <si>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</si>
  <si>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</si>
  <si>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</si>
  <si>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</si>
  <si>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</si>
  <si>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</si>
  <si>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</si>
  <si>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</si>
  <si>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</si>
  <si>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</si>
  <si>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</si>
  <si>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</si>
  <si>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</si>
  <si>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</si>
  <si>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</si>
  <si>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</si>
  <si>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</si>
  <si>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</si>
  <si>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</si>
  <si>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</si>
  <si>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</si>
  <si>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</si>
  <si>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</si>
  <si>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</si>
  <si>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</si>
  <si>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</si>
  <si>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</si>
  <si>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</si>
  <si>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</si>
  <si>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</si>
  <si>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</si>
  <si>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</si>
  <si>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</si>
  <si>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</si>
  <si>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</si>
  <si>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</si>
  <si>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</si>
  <si>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</si>
  <si>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</si>
  <si>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</si>
  <si>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</si>
  <si>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</si>
  <si>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</si>
  <si>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</si>
  <si>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</si>
  <si>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</si>
  <si>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</si>
  <si>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</si>
  <si>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</si>
  <si>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</si>
  <si>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</si>
  <si>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</si>
  <si>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</si>
  <si>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</si>
  <si>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</si>
  <si>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</si>
  <si>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</si>
  <si>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</si>
  <si>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</si>
  <si>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</si>
  <si>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</si>
  <si>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</si>
  <si>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</si>
  <si>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</si>
  <si>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</si>
  <si>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</si>
  <si>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</si>
  <si>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</si>
  <si>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</si>
  <si>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</si>
  <si>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</si>
  <si>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</si>
  <si>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</si>
  <si>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</si>
  <si>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</si>
  <si>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</si>
  <si>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</si>
  <si>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</si>
  <si>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</si>
  <si>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</si>
  <si>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</si>
  <si>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</si>
  <si>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</si>
  <si>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</si>
  <si>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</si>
  <si>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</si>
  <si>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</si>
  <si>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</si>
  <si>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</si>
  <si>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</si>
  <si>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</si>
  <si>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</si>
  <si>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</si>
  <si>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</si>
  <si>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</si>
  <si>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</si>
  <si>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</si>
  <si>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</si>
  <si>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</si>
  <si>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</si>
  <si>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</si>
  <si>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</si>
  <si>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</si>
  <si>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</si>
  <si>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</si>
  <si>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</si>
  <si>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</si>
  <si>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</si>
  <si>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</si>
  <si>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</si>
  <si>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</si>
  <si>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</si>
  <si>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</si>
  <si>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</si>
  <si>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</si>
  <si>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</si>
  <si>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</si>
  <si>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</si>
  <si>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</si>
  <si>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</si>
  <si>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</si>
  <si>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</si>
  <si>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</si>
  <si>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</si>
  <si>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</si>
  <si>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</si>
  <si>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</si>
  <si>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</si>
  <si>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</si>
  <si>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</si>
  <si>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</si>
  <si>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</si>
  <si>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</si>
  <si>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</si>
  <si>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</si>
  <si>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</si>
  <si>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</si>
  <si>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</si>
  <si>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</si>
  <si>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</si>
  <si>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</si>
  <si>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</si>
  <si>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</si>
  <si>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</si>
  <si>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</si>
  <si>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</si>
  <si>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</si>
  <si>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</si>
  <si>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</si>
  <si>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</si>
  <si>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</si>
  <si>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</si>
  <si>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</si>
  <si>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</si>
  <si>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</si>
  <si>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</si>
  <si>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</si>
  <si>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</si>
  <si>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</si>
  <si>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</si>
  <si>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</si>
  <si>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</si>
  <si>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</si>
  <si>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</si>
  <si>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</si>
  <si>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</si>
  <si>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</si>
  <si>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</si>
  <si>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</si>
  <si>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</si>
  <si>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</si>
  <si>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</si>
  <si>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</si>
  <si>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</si>
  <si>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</si>
  <si>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</si>
  <si>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</si>
  <si>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</si>
  <si>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</si>
  <si>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</si>
  <si>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</si>
  <si>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</si>
  <si>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</si>
  <si>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</si>
  <si>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</si>
  <si>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</si>
  <si>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</si>
  <si>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</si>
  <si>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</si>
  <si>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</si>
  <si>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</si>
  <si>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</si>
  <si>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</si>
  <si>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</si>
  <si>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</si>
  <si>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</si>
  <si>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</si>
  <si>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</si>
  <si>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</si>
  <si>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</si>
  <si>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</si>
  <si>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</si>
  <si>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</si>
  <si>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</si>
  <si>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</si>
  <si>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</si>
  <si>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</si>
  <si>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</si>
  <si>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</si>
  <si>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</si>
  <si>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</si>
  <si>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</si>
  <si>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</si>
  <si>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</si>
  <si>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</si>
  <si>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</si>
  <si>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</si>
  <si>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</si>
  <si>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</si>
  <si>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</si>
  <si>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</si>
  <si>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</si>
  <si>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</si>
  <si>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</si>
  <si>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</si>
  <si>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</si>
  <si>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</si>
  <si>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</si>
  <si>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</si>
  <si>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</si>
  <si>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</si>
  <si>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</si>
  <si>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</si>
  <si>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</si>
  <si>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</si>
  <si>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</si>
  <si>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</si>
  <si>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</si>
  <si>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</si>
  <si>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</si>
  <si>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</si>
  <si>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</si>
  <si>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</si>
  <si>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</si>
  <si>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</si>
  <si>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</si>
  <si>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</si>
  <si>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</si>
  <si>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</si>
  <si>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</si>
  <si>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</si>
  <si>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</si>
  <si>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</si>
  <si>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</si>
  <si>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</si>
  <si>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</si>
  <si>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</si>
  <si>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</si>
  <si>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</si>
  <si>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</si>
  <si>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</si>
  <si>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</si>
  <si>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</si>
  <si>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</si>
  <si>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</si>
  <si>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</si>
  <si>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</si>
  <si>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</si>
  <si>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</si>
  <si>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</si>
  <si>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</si>
  <si>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</si>
  <si>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</si>
  <si>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</si>
  <si>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</si>
  <si>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</si>
  <si>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</si>
  <si>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</si>
  <si>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</si>
  <si>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</si>
  <si>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</si>
  <si>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</si>
  <si>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</si>
  <si>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</si>
  <si>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</si>
  <si>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</si>
  <si>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</si>
  <si>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</si>
  <si>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</si>
  <si>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</si>
  <si>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</si>
  <si>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</si>
  <si>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</si>
  <si>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</si>
  <si>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</si>
  <si>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</si>
  <si>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</si>
  <si>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</si>
  <si>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</si>
  <si>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</si>
  <si>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</si>
  <si>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</si>
  <si>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</si>
  <si>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</si>
  <si>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</si>
  <si>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</si>
  <si>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</si>
  <si>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</si>
  <si>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</si>
  <si>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</si>
  <si>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</si>
  <si>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</si>
  <si>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</si>
  <si>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</si>
  <si>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</si>
  <si>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</si>
  <si>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</si>
  <si>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</si>
  <si>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</si>
  <si>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</si>
  <si>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</si>
  <si>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</si>
  <si>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</si>
  <si>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</si>
  <si>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</si>
  <si>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</si>
  <si>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</si>
  <si>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</si>
  <si>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</si>
  <si>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</si>
  <si>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</si>
  <si>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</si>
  <si>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</si>
  <si>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</si>
  <si>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</si>
  <si>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</si>
  <si>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</si>
  <si>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</si>
  <si>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</si>
  <si>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</si>
  <si>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</si>
  <si>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</si>
  <si>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</si>
  <si>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</si>
  <si>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</si>
  <si>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</si>
  <si>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</si>
  <si>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</si>
  <si>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</si>
  <si>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</si>
  <si>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</si>
  <si>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</si>
  <si>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</si>
  <si>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</si>
  <si>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</si>
  <si>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</si>
  <si>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</si>
  <si>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</si>
  <si>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</si>
  <si>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</si>
  <si>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</si>
  <si>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</si>
  <si>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</si>
  <si>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</si>
  <si>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</si>
  <si>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</si>
  <si>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</si>
  <si>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</si>
  <si>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</si>
  <si>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</si>
  <si>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</si>
  <si>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</si>
  <si>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</si>
  <si>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</si>
  <si>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</si>
  <si>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</si>
  <si>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</si>
  <si>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</si>
  <si>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</si>
  <si>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</si>
  <si>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</si>
  <si>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</si>
  <si>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</si>
  <si>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</si>
  <si>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</si>
  <si>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</si>
  <si>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</si>
  <si>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</si>
  <si>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</si>
  <si>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</si>
  <si>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</si>
  <si>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</si>
  <si>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</si>
  <si>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</si>
  <si>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</si>
  <si>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</si>
  <si>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</si>
  <si>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</si>
  <si>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</si>
  <si>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</si>
  <si>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</si>
  <si>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</si>
  <si>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</si>
  <si>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</si>
  <si>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</si>
  <si>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</si>
  <si>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</si>
  <si>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</si>
  <si>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</si>
  <si>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</si>
  <si>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</si>
  <si>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</si>
  <si>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</si>
  <si>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</si>
  <si>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</si>
  <si>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</si>
  <si>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</si>
  <si>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</si>
  <si>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</si>
  <si>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</si>
  <si>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</si>
  <si>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</si>
  <si>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</si>
  <si>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</si>
  <si>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</si>
  <si>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</si>
  <si>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</si>
  <si>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</si>
  <si>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</si>
  <si>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</si>
  <si>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</si>
  <si>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</si>
  <si>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</si>
  <si>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</si>
  <si>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</si>
  <si>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</si>
  <si>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</si>
  <si>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</si>
  <si>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</si>
  <si>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</si>
  <si>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</si>
  <si>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</si>
  <si>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</si>
  <si>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</si>
  <si>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</si>
  <si>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</si>
  <si>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</si>
  <si>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</si>
  <si>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</si>
  <si>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</si>
  <si>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</si>
  <si>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</si>
  <si>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</si>
  <si>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</si>
  <si>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</si>
  <si>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</si>
  <si>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</si>
  <si>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</si>
  <si>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</si>
  <si>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</si>
  <si>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</si>
  <si>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</si>
  <si>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</si>
  <si>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</si>
  <si>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</si>
  <si>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</si>
  <si>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</si>
  <si>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</si>
  <si>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</si>
  <si>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</si>
  <si>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</si>
  <si>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</si>
  <si>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</si>
  <si>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</si>
  <si>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</si>
  <si>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</si>
  <si>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</si>
  <si>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</si>
  <si>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</si>
  <si>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</si>
  <si>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</si>
  <si>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</si>
  <si>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</si>
  <si>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</si>
  <si>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</si>
  <si>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</si>
  <si>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</si>
  <si>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</si>
  <si>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</si>
  <si>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</si>
  <si>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</si>
  <si>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</si>
  <si>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</si>
  <si>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</si>
  <si>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</si>
  <si>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</si>
  <si>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</si>
  <si>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</si>
  <si>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</si>
  <si>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</si>
  <si>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</si>
  <si>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</si>
  <si>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</si>
  <si>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</si>
  <si>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</si>
  <si>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</si>
  <si>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</si>
  <si>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</si>
  <si>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</si>
  <si>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</si>
  <si>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</si>
  <si>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</si>
  <si>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</si>
  <si>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</si>
  <si>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</si>
  <si>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</si>
  <si>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</si>
  <si>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</si>
  <si>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</si>
  <si>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</si>
  <si>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</si>
  <si>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</si>
  <si>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</si>
  <si>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</si>
  <si>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</si>
  <si>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</si>
  <si>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</si>
  <si>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</si>
  <si>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</si>
  <si>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</si>
  <si>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</si>
  <si>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</si>
  <si>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</si>
  <si>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</si>
  <si>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</si>
  <si>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</si>
  <si>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</si>
  <si>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</si>
  <si>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</si>
  <si>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</si>
  <si>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</si>
  <si>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</si>
  <si>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</si>
  <si>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</si>
  <si>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</si>
  <si>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</si>
  <si>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</si>
  <si>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</si>
  <si>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</si>
  <si>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</si>
  <si>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</si>
  <si>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</si>
  <si>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</si>
  <si>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</si>
  <si>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</si>
  <si>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</si>
  <si>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</si>
  <si>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</si>
  <si>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</si>
  <si>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</si>
  <si>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</si>
  <si>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</si>
  <si>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</si>
  <si>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</si>
  <si>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</si>
  <si>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</si>
  <si>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</si>
  <si>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</si>
  <si>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</si>
  <si>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</si>
  <si>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</si>
  <si>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</si>
  <si>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</si>
  <si>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</si>
  <si>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</si>
  <si>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</si>
  <si>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</si>
  <si>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</si>
  <si>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</si>
  <si>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</si>
  <si>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</si>
  <si>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</si>
  <si>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</si>
  <si>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</si>
  <si>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</si>
  <si>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</si>
  <si>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</si>
  <si>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</si>
  <si>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</si>
  <si>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</si>
  <si>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</si>
  <si>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</si>
  <si>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</si>
  <si>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</si>
  <si>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</si>
  <si>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</si>
  <si>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</si>
  <si>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</si>
  <si>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</si>
  <si>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</si>
  <si>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</si>
  <si>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</si>
  <si>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</si>
  <si>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</si>
  <si>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</si>
  <si>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</si>
  <si>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</si>
  <si>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</si>
  <si>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</si>
  <si>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</si>
  <si>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</si>
  <si>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</si>
  <si>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</si>
  <si>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</si>
  <si>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</si>
  <si>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</si>
  <si>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</si>
  <si>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</si>
  <si>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</si>
  <si>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</si>
  <si>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</si>
  <si>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</si>
  <si>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</si>
  <si>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</si>
  <si>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</si>
  <si>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</si>
  <si>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</si>
  <si>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</si>
  <si>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</si>
  <si>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</si>
  <si>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</si>
  <si>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</si>
  <si>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</si>
  <si>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</si>
  <si>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</si>
  <si>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</si>
  <si>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</si>
  <si>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</si>
  <si>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</si>
  <si>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</si>
  <si>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</si>
  <si>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</si>
  <si>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</si>
  <si>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</si>
  <si>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</si>
  <si>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</si>
  <si>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</si>
  <si>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</si>
  <si>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</si>
  <si>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</si>
  <si>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</si>
  <si>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</si>
  <si>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</si>
  <si>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</si>
  <si>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</si>
  <si>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</si>
  <si>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</si>
  <si>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</si>
  <si>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</si>
  <si>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</si>
  <si>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</si>
  <si>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</si>
  <si>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</si>
  <si>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</si>
  <si>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</si>
  <si>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</si>
  <si>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</si>
  <si>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</si>
  <si>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</si>
  <si>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</si>
  <si>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</si>
  <si>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</si>
  <si>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</si>
  <si>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</si>
  <si>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</si>
  <si>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</si>
  <si>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</si>
  <si>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</si>
  <si>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</si>
  <si>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</si>
  <si>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</si>
  <si>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</si>
  <si>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</si>
  <si>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</si>
  <si>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</si>
  <si>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</si>
  <si>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</si>
  <si>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</si>
  <si>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</si>
  <si>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</si>
  <si>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</si>
  <si>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</si>
  <si>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</si>
  <si>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</si>
  <si>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</si>
  <si>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</si>
  <si>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</si>
  <si>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</si>
  <si>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</si>
  <si>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</si>
  <si>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</si>
  <si>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</si>
  <si>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</si>
  <si>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</si>
  <si>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</si>
  <si>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</si>
  <si>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</si>
  <si>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</si>
  <si>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</si>
  <si>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</si>
  <si>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</si>
  <si>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</si>
  <si>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</si>
  <si>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</si>
  <si>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</si>
  <si>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</si>
  <si>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</si>
  <si>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</si>
  <si>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</si>
  <si>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</si>
  <si>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</si>
  <si>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</si>
  <si>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</si>
  <si>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</si>
  <si>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</si>
  <si>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</si>
  <si>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</si>
  <si>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</si>
  <si>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</si>
  <si>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</si>
  <si>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</si>
  <si>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</si>
  <si>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</si>
  <si>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</si>
  <si>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</si>
  <si>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</si>
  <si>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</si>
  <si>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</si>
  <si>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</si>
  <si>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</si>
  <si>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</si>
  <si>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</si>
  <si>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</si>
  <si>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</si>
  <si>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</si>
  <si>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</si>
  <si>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</si>
  <si>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</si>
  <si>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</si>
  <si>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</si>
  <si>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</si>
  <si>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</si>
  <si>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</si>
  <si>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</si>
  <si>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</si>
  <si>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</si>
  <si>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</si>
  <si>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</si>
  <si>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</si>
  <si>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</si>
  <si>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</si>
  <si>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</si>
  <si>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</si>
  <si>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</si>
  <si>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</si>
  <si>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</si>
  <si>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</si>
  <si>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</si>
  <si>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</si>
  <si>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</si>
  <si>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</si>
  <si>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</si>
  <si>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</si>
  <si>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</si>
  <si>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</si>
  <si>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</si>
  <si>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</si>
  <si>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</si>
  <si>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</si>
  <si>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</si>
  <si>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</si>
  <si>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</si>
  <si>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</si>
  <si>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</si>
  <si>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</si>
  <si>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</si>
  <si>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</si>
  <si>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</si>
  <si>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</si>
  <si>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</si>
  <si>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</si>
  <si>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</si>
  <si>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</si>
  <si>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</si>
  <si>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</si>
  <si>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</si>
  <si>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</si>
  <si>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</si>
  <si>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</si>
  <si>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</si>
  <si>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</si>
  <si>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</si>
  <si>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</si>
  <si>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</si>
  <si>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</si>
  <si>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</si>
  <si>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</si>
  <si>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</si>
  <si>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</si>
  <si>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</si>
  <si>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</si>
  <si>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</si>
  <si>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</si>
  <si>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</si>
  <si>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</si>
  <si>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</si>
  <si>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</si>
  <si>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</si>
  <si>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</si>
  <si>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</si>
  <si>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</si>
  <si>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</si>
  <si>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</si>
  <si>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</si>
  <si>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</si>
  <si>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</si>
  <si>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</si>
  <si>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</si>
  <si>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</si>
  <si>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</si>
  <si>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</si>
  <si>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</si>
  <si>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</si>
  <si>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</si>
  <si>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</si>
  <si>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</si>
  <si>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</si>
  <si>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</si>
  <si>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</si>
  <si>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</si>
  <si>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</si>
  <si>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</si>
  <si>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</si>
  <si>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</si>
  <si>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</si>
  <si>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</si>
  <si>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</si>
  <si>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</si>
  <si>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</si>
  <si>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</si>
  <si>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</si>
  <si>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</si>
  <si>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</si>
  <si>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</si>
  <si>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</si>
  <si>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</si>
  <si>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</si>
  <si>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</si>
  <si>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</si>
  <si>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</si>
  <si>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</si>
  <si>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</si>
  <si>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</si>
  <si>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</si>
  <si>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</si>
  <si>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</si>
  <si>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</si>
  <si>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</si>
  <si>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</si>
  <si>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</si>
  <si>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</si>
  <si>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</si>
  <si>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</si>
  <si>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</si>
  <si>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</si>
  <si>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</si>
  <si>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</si>
  <si>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</si>
  <si>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</si>
  <si>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</si>
  <si>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</si>
  <si>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</si>
  <si>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</si>
  <si>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</si>
  <si>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</si>
  <si>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</si>
  <si>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</si>
  <si>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</si>
  <si>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</si>
  <si>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</si>
  <si>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</si>
  <si>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</si>
  <si>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</si>
  <si>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</si>
  <si>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</si>
  <si>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</si>
  <si>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</si>
  <si>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</si>
  <si>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</si>
  <si>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</si>
  <si>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</si>
  <si>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</si>
  <si>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</si>
  <si>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</si>
  <si>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</si>
  <si>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</si>
  <si>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</si>
  <si>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</si>
  <si>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</si>
  <si>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</si>
  <si>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</si>
  <si>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</si>
  <si>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</si>
  <si>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</si>
  <si>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</si>
  <si>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</si>
  <si>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</si>
  <si>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</si>
  <si>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</si>
  <si>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</si>
  <si>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</si>
  <si>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</si>
  <si>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</si>
  <si>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</si>
  <si>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</si>
  <si>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</si>
  <si>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</si>
  <si>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</si>
  <si>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</si>
  <si>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</si>
  <si>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</si>
  <si>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</si>
  <si>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</si>
  <si>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</si>
  <si>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</si>
  <si>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</si>
  <si>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</si>
  <si>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</si>
  <si>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</si>
  <si>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</si>
  <si>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</si>
  <si>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</si>
  <si>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</si>
  <si>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</si>
  <si>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</si>
  <si>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</si>
  <si>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</si>
  <si>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</si>
  <si>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</si>
  <si>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</si>
  <si>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</si>
  <si>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</si>
  <si>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</si>
  <si>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</si>
  <si>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</si>
  <si>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</si>
  <si>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</si>
  <si>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</si>
  <si>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</si>
  <si>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</si>
  <si>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</si>
  <si>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</si>
  <si>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</si>
  <si>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</si>
  <si>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</si>
  <si>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</si>
  <si>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</si>
  <si>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</si>
  <si>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</si>
  <si>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</si>
  <si>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</si>
  <si>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</si>
  <si>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</si>
  <si>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</si>
  <si>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</si>
  <si>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</si>
  <si>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</si>
  <si>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</si>
  <si>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</si>
  <si>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</si>
  <si>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</si>
  <si>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</si>
  <si>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</si>
  <si>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</si>
  <si>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</si>
  <si>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</si>
  <si>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</si>
  <si>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</si>
  <si>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</si>
  <si>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</si>
  <si>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</si>
  <si>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</si>
  <si>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</si>
  <si>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</si>
  <si>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</si>
  <si>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</si>
  <si>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</si>
  <si>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</si>
  <si>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</si>
  <si>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</si>
  <si>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</si>
  <si>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</si>
  <si>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</si>
  <si>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</si>
  <si>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</si>
  <si>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</si>
  <si>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</si>
  <si>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</si>
  <si>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</si>
  <si>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</si>
  <si>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</si>
  <si>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</si>
  <si>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</si>
  <si>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</si>
  <si>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</si>
  <si>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</si>
  <si>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</si>
  <si>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</si>
  <si>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</si>
  <si>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</si>
  <si>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</si>
  <si>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</si>
  <si>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</si>
  <si>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</si>
  <si>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</si>
  <si>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</si>
  <si>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</si>
  <si>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</si>
  <si>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</si>
  <si>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</si>
  <si>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</si>
  <si>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</si>
  <si>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</si>
  <si>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</si>
  <si>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</si>
  <si>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</si>
  <si>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</si>
  <si>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</si>
  <si>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</si>
  <si>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</si>
  <si>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</si>
  <si>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</si>
  <si>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</si>
  <si>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</si>
  <si>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</si>
  <si>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</si>
  <si>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</si>
  <si>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</si>
  <si>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</si>
  <si>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</si>
  <si>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</si>
  <si>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</si>
  <si>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</si>
  <si>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</si>
  <si>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</si>
  <si>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</si>
  <si>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</si>
  <si>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</si>
  <si>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</si>
  <si>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</si>
  <si>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</si>
  <si>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</si>
  <si>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</si>
  <si>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</si>
  <si>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</si>
  <si>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</si>
  <si>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</si>
  <si>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</si>
  <si>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</si>
  <si>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</si>
  <si>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</si>
  <si>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</si>
  <si>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</si>
  <si>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</si>
  <si>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</si>
  <si>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</si>
  <si>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</si>
  <si>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</si>
  <si>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</si>
  <si>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</si>
  <si>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</si>
  <si>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</si>
  <si>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</si>
  <si>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</si>
  <si>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</si>
  <si>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</si>
  <si>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</si>
  <si>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</si>
  <si>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</si>
  <si>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</si>
  <si>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</si>
  <si>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</si>
  <si>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</si>
  <si>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</si>
  <si>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</si>
  <si>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</si>
  <si>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</si>
  <si>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</si>
  <si>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</si>
  <si>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</si>
  <si>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</si>
  <si>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</si>
  <si>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</si>
  <si>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</si>
  <si>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</si>
  <si>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</si>
  <si>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</si>
  <si>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</si>
  <si>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</si>
  <si>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</si>
  <si>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</si>
  <si>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</si>
  <si>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</si>
  <si>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</si>
  <si>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</si>
  <si>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</si>
  <si>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</si>
  <si>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</si>
  <si>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</si>
  <si>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</si>
  <si>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</si>
  <si>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</si>
  <si>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</si>
  <si>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</si>
  <si>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</si>
  <si>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</si>
  <si>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</si>
  <si>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</si>
  <si>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</si>
  <si>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</si>
  <si>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</si>
  <si>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</si>
  <si>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</si>
  <si>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</si>
  <si>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</si>
  <si>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</si>
  <si>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</si>
  <si>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</si>
  <si>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</si>
  <si>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</si>
  <si>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</si>
  <si>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</si>
  <si>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</si>
  <si>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</si>
  <si>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</si>
  <si>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</si>
  <si>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</si>
  <si>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</si>
  <si>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</si>
  <si>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</si>
  <si>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</si>
  <si>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</si>
  <si>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</si>
  <si>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</si>
  <si>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</si>
  <si>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</si>
  <si>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</si>
  <si>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</si>
  <si>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</si>
  <si>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</si>
  <si>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</si>
  <si>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</si>
  <si>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</si>
  <si>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</si>
  <si>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</si>
  <si>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</si>
  <si>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</si>
  <si>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</si>
  <si>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</si>
  <si>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</si>
  <si>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</si>
  <si>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</si>
  <si>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</si>
  <si>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</si>
  <si>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</si>
  <si>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</si>
  <si>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</si>
  <si>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</si>
  <si>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</si>
  <si>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</si>
  <si>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</si>
  <si>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</si>
  <si>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</si>
  <si>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</si>
  <si>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</si>
  <si>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</si>
  <si>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</si>
  <si>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</si>
  <si>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</si>
  <si>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</si>
  <si>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</si>
  <si>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</si>
  <si>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</si>
  <si>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</si>
  <si>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</si>
  <si>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</si>
  <si>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</si>
  <si>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</si>
  <si>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</si>
  <si>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</si>
  <si>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</si>
  <si>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</si>
  <si>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</si>
  <si>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</si>
  <si>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</si>
  <si>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</si>
  <si>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</si>
  <si>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</si>
  <si>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</si>
  <si>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</si>
  <si>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</si>
  <si>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</si>
  <si>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</si>
  <si>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</si>
  <si>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</si>
  <si>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</si>
  <si>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</si>
  <si>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</si>
  <si>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</si>
  <si>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</si>
  <si>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</si>
  <si>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</si>
  <si>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</si>
  <si>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</si>
  <si>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</si>
  <si>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</si>
  <si>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</si>
  <si>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</si>
  <si>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</si>
  <si>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</si>
  <si>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</si>
  <si>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</si>
  <si>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</si>
  <si>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</si>
  <si>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</si>
  <si>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</si>
  <si>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</si>
  <si>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</si>
  <si>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</si>
  <si>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</si>
  <si>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</si>
  <si>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</si>
  <si>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</si>
  <si>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</si>
  <si>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</si>
  <si>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</si>
  <si>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</si>
  <si>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</si>
  <si>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</si>
  <si>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</si>
  <si>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</si>
  <si>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</si>
  <si>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</si>
  <si>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</si>
  <si>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</si>
  <si>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</si>
  <si>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</si>
  <si>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</si>
  <si>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</si>
  <si>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</si>
  <si>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</si>
  <si>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</si>
  <si>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</si>
  <si>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</si>
  <si>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</si>
  <si>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</si>
  <si>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</si>
  <si>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</si>
  <si>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</si>
  <si>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</si>
  <si>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</si>
  <si>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</si>
  <si>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</si>
  <si>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</si>
  <si>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</si>
  <si>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</si>
  <si>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</si>
  <si>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</si>
  <si>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</si>
  <si>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</si>
  <si>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</si>
  <si>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</si>
  <si>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</si>
  <si>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</si>
  <si>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</si>
  <si>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</si>
  <si>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</si>
  <si>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</si>
  <si>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</si>
  <si>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</si>
  <si>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</si>
  <si>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</si>
  <si>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</si>
  <si>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</si>
  <si>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</si>
  <si>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</si>
  <si>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</si>
  <si>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</si>
  <si>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</si>
  <si>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</si>
  <si>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</si>
  <si>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</si>
  <si>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</si>
  <si>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</si>
  <si>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</si>
  <si>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</si>
  <si>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</si>
  <si>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</si>
  <si>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</si>
  <si>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</si>
  <si>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</si>
  <si>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</si>
  <si>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</si>
  <si>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</si>
  <si>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</si>
  <si>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</si>
  <si>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</si>
  <si>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</si>
  <si>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</si>
  <si>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</si>
  <si>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</si>
  <si>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</si>
  <si>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</si>
  <si>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</si>
  <si>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</si>
  <si>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</si>
  <si>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</si>
  <si>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</si>
  <si>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</si>
  <si>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</si>
  <si>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</si>
  <si>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</si>
  <si>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</si>
  <si>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</si>
  <si>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</si>
  <si>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</si>
  <si>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</si>
  <si>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</si>
  <si>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</si>
  <si>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</si>
  <si>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</si>
  <si>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</si>
  <si>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</si>
  <si>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</si>
  <si>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</si>
  <si>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</si>
  <si>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</si>
  <si>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</si>
  <si>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</si>
  <si>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</si>
  <si>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</si>
  <si>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</si>
  <si>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</si>
  <si>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</si>
  <si>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</si>
  <si>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</si>
  <si>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</si>
  <si>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</si>
  <si>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</si>
  <si>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</si>
  <si>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</si>
  <si>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</si>
  <si>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</si>
  <si>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</si>
  <si>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</si>
  <si>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</si>
  <si>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</si>
  <si>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</si>
  <si>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</si>
  <si>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</si>
  <si>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</si>
  <si>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</si>
  <si>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</si>
  <si>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</si>
  <si>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</si>
  <si>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</si>
  <si>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</si>
  <si>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</si>
  <si>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</si>
  <si>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</si>
  <si>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</si>
  <si>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</si>
  <si>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</si>
  <si>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</si>
  <si>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</si>
  <si>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</si>
  <si>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</si>
  <si>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</si>
  <si>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</si>
  <si>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</si>
  <si>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</si>
  <si>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</si>
  <si>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</si>
  <si>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</si>
  <si>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</si>
  <si>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</si>
  <si>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</si>
  <si>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</si>
  <si>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</si>
  <si>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</si>
  <si>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</si>
  <si>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</si>
  <si>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</si>
  <si>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</si>
  <si>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</si>
  <si>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</si>
  <si>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</si>
  <si>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</si>
  <si>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</si>
  <si>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</si>
  <si>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</si>
  <si>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</si>
  <si>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</si>
  <si>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</si>
  <si>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</si>
  <si>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</si>
  <si>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</si>
  <si>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</si>
  <si>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</si>
  <si>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</si>
  <si>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</si>
  <si>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</si>
  <si>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</si>
  <si>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</si>
  <si>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</si>
  <si>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</si>
  <si>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</si>
  <si>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</si>
  <si>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</si>
  <si>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</si>
  <si>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</si>
  <si>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</si>
  <si>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</si>
  <si>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</si>
  <si>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</si>
  <si>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</si>
  <si>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</si>
  <si>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</si>
  <si>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</si>
  <si>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</si>
  <si>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</si>
  <si>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</si>
  <si>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</si>
  <si>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</si>
  <si>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</si>
  <si>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</si>
  <si>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</si>
  <si>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</si>
  <si>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</si>
  <si>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</si>
  <si>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</si>
  <si>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</si>
  <si>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</si>
  <si>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</si>
  <si>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</si>
  <si>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</si>
  <si>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</si>
  <si>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</si>
  <si>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</si>
  <si>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</si>
  <si>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</si>
  <si>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</si>
  <si>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</si>
  <si>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</si>
  <si>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</si>
  <si>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</si>
  <si>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</si>
  <si>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</si>
  <si>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</si>
  <si>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</si>
  <si>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</si>
  <si>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</si>
  <si>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</si>
  <si>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</si>
  <si>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</si>
  <si>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</si>
  <si>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</si>
  <si>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</si>
  <si>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</si>
  <si>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</si>
  <si>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</si>
  <si>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</si>
  <si>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</si>
  <si>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</si>
  <si>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</si>
  <si>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</si>
  <si>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</si>
  <si>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</si>
  <si>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</si>
  <si>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</si>
  <si>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</si>
  <si>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</si>
  <si>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</si>
  <si>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</si>
  <si>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</si>
  <si>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</si>
  <si>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</si>
  <si>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</si>
  <si>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</si>
  <si>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</si>
  <si>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</si>
  <si>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</si>
  <si>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</si>
  <si>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</si>
  <si>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</si>
  <si>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</si>
  <si>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</si>
  <si>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</si>
  <si>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</si>
  <si>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</si>
  <si>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</si>
  <si>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</si>
  <si>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</si>
  <si>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</si>
  <si>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</si>
  <si>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</si>
  <si>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</si>
  <si>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</si>
  <si>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</si>
  <si>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</si>
  <si>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</si>
  <si>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</si>
  <si>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</si>
  <si>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</si>
  <si>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</si>
  <si>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</si>
  <si>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</si>
  <si>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</si>
  <si>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</si>
  <si>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</si>
  <si>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</si>
  <si>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</si>
  <si>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</si>
  <si>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</si>
  <si>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</si>
  <si>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</si>
  <si>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</si>
  <si>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</si>
  <si>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</si>
  <si>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</si>
  <si>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</si>
  <si>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</si>
  <si>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</si>
  <si>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</si>
  <si>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</si>
  <si>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</si>
  <si>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</si>
  <si>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</si>
  <si>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</si>
  <si>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</si>
  <si>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</si>
  <si>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</si>
  <si>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</si>
  <si>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</si>
  <si>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</si>
  <si>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</si>
  <si>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</si>
  <si>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</si>
  <si>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</si>
  <si>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</si>
  <si>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</si>
  <si>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</si>
  <si>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</si>
  <si>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</si>
  <si>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</si>
  <si>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</si>
  <si>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</si>
  <si>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</si>
  <si>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</si>
  <si>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</si>
  <si>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</si>
  <si>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</si>
  <si>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</si>
  <si>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</si>
  <si>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</si>
  <si>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</si>
  <si>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</si>
  <si>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</si>
  <si>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</si>
  <si>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</si>
  <si>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</si>
  <si>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</si>
  <si>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</si>
  <si>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</si>
  <si>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</si>
  <si>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</si>
  <si>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</si>
  <si>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</si>
  <si>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</si>
  <si>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</si>
  <si>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</si>
  <si>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</si>
  <si>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</si>
  <si>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</si>
  <si>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</si>
  <si>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</si>
  <si>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</si>
  <si>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</si>
  <si>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</si>
  <si>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</si>
  <si>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</si>
  <si>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</si>
  <si>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</si>
  <si>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</si>
  <si>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</si>
  <si>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</si>
  <si>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</si>
  <si>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</si>
  <si>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</si>
  <si>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</si>
  <si>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</si>
  <si>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</si>
  <si>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</si>
  <si>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</si>
  <si>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</si>
  <si>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</si>
  <si>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</si>
  <si>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</si>
  <si>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</si>
  <si>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</si>
  <si>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</si>
  <si>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</si>
  <si>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</si>
  <si>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</si>
  <si>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</si>
  <si>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</si>
  <si>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</si>
  <si>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</si>
  <si>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</si>
  <si>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</si>
  <si>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</si>
  <si>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</si>
  <si>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</si>
  <si>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</si>
  <si>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</si>
  <si>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</si>
  <si>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</si>
  <si>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</si>
  <si>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</si>
  <si>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</si>
  <si>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</si>
  <si>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</si>
  <si>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</si>
  <si>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</si>
  <si>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</si>
  <si>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</si>
  <si>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</si>
  <si>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</si>
  <si>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</si>
  <si>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</si>
  <si>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</si>
  <si>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</si>
  <si>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</si>
  <si>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</si>
  <si>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</si>
  <si>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</si>
  <si>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</si>
  <si>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</si>
  <si>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</si>
  <si>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</si>
  <si>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</si>
  <si>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</si>
  <si>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</si>
  <si>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</si>
  <si>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</si>
  <si>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</si>
  <si>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</si>
  <si>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</si>
  <si>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</si>
  <si>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</si>
  <si>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</si>
  <si>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</si>
  <si>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</si>
  <si>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</si>
  <si>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</si>
  <si>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</si>
  <si>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</si>
  <si>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</si>
  <si>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</si>
  <si>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</si>
  <si>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</si>
  <si>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</si>
  <si>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</si>
  <si>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</si>
  <si>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</si>
  <si>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</si>
  <si>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</si>
  <si>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</si>
  <si>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</si>
  <si>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</si>
  <si>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</si>
  <si>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</si>
  <si>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</si>
  <si>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</si>
  <si>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</si>
  <si>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</si>
  <si>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</si>
  <si>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</si>
  <si>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</si>
  <si>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</si>
  <si>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</si>
  <si>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</si>
  <si>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</si>
  <si>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</si>
  <si>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</si>
  <si>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</si>
  <si>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</si>
  <si>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</si>
  <si>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</si>
  <si>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</si>
  <si>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</si>
  <si>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</si>
  <si>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</si>
  <si>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</si>
  <si>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</si>
  <si>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</si>
  <si>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</si>
  <si>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</si>
  <si>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</si>
  <si>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</si>
  <si>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</si>
  <si>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</si>
  <si>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</si>
  <si>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</si>
  <si>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</si>
  <si>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</si>
  <si>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</si>
  <si>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</si>
  <si>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</si>
  <si>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</si>
  <si>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</si>
  <si>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</si>
  <si>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</si>
  <si>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</si>
  <si>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</si>
  <si>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</si>
  <si>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</si>
  <si>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</si>
  <si>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</si>
  <si>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</si>
  <si>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</si>
  <si>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</si>
  <si>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</si>
  <si>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</si>
  <si>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</si>
  <si>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</si>
  <si>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</si>
  <si>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</si>
  <si>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</si>
  <si>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</si>
  <si>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</si>
  <si>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</si>
  <si>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</si>
  <si>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</si>
  <si>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</si>
  <si>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</si>
  <si>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</si>
  <si>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</si>
  <si>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</si>
  <si>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</si>
  <si>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</si>
  <si>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</si>
  <si>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</si>
  <si>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</si>
  <si>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</si>
  <si>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</si>
  <si>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</si>
  <si>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</si>
  <si>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</si>
  <si>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</si>
  <si>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</si>
  <si>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</si>
  <si>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</si>
  <si>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</si>
  <si>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</si>
  <si>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</si>
  <si>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</si>
  <si>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</si>
  <si>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</si>
  <si>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</si>
  <si>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</si>
  <si>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</si>
  <si>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</si>
  <si>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</si>
  <si>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</si>
  <si>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</si>
  <si>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</si>
  <si>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</si>
  <si>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</si>
  <si>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</si>
  <si>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</si>
  <si>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</si>
  <si>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</si>
  <si>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</si>
  <si>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</si>
  <si>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</si>
  <si>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</si>
  <si>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</si>
  <si>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</si>
  <si>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</si>
  <si>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</si>
  <si>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</si>
  <si>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</si>
  <si>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</si>
  <si>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</si>
  <si>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</si>
  <si>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</si>
  <si>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</si>
  <si>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</si>
  <si>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</si>
  <si>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</si>
  <si>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</si>
  <si>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</si>
  <si>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</si>
  <si>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</si>
  <si>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</si>
  <si>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</si>
  <si>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</si>
  <si>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</si>
  <si>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</si>
  <si>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</si>
  <si>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</si>
  <si>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</si>
  <si>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</si>
  <si>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</si>
  <si>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</si>
  <si>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</si>
  <si>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</si>
  <si>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</si>
  <si>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</si>
  <si>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</si>
  <si>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</si>
  <si>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</si>
  <si>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</si>
  <si>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</si>
  <si>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</si>
  <si>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</si>
  <si>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</si>
  <si>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</si>
  <si>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</si>
  <si>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</si>
  <si>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</si>
  <si>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</si>
  <si>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</si>
  <si>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</si>
  <si>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</si>
  <si>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</si>
  <si>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</si>
  <si>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</si>
  <si>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</si>
  <si>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</si>
  <si>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</si>
  <si>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</si>
  <si>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</si>
  <si>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</si>
  <si>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</si>
  <si>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</si>
  <si>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</si>
  <si>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</si>
  <si>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</si>
  <si>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</si>
  <si>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</si>
  <si>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</si>
  <si>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</si>
  <si>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</si>
  <si>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</si>
  <si>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</si>
  <si>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</si>
  <si>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</si>
  <si>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</si>
  <si>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</si>
  <si>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</si>
  <si>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</si>
  <si>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</si>
  <si>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</si>
  <si>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</si>
  <si>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</si>
  <si>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</si>
  <si>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</si>
  <si>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</si>
  <si>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</si>
  <si>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</si>
  <si>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</si>
  <si>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</si>
  <si>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</si>
  <si>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</si>
  <si>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</si>
  <si>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</si>
  <si>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</si>
  <si>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</si>
  <si>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</si>
  <si>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</si>
  <si>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</si>
  <si>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</si>
  <si>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</si>
  <si>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</si>
  <si>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</si>
  <si>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</si>
  <si>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</si>
  <si>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</si>
  <si>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</si>
  <si>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</si>
  <si>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</si>
  <si>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</si>
  <si>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</si>
  <si>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</si>
  <si>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</si>
  <si>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</si>
  <si>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</si>
  <si>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</si>
  <si>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</si>
  <si>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</si>
  <si>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</si>
  <si>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</si>
  <si>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</si>
  <si>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</si>
  <si>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</si>
  <si>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</si>
  <si>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</si>
  <si>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</si>
  <si>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</si>
  <si>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</si>
  <si>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</si>
  <si>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</si>
  <si>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</si>
  <si>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</si>
  <si>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</si>
  <si>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</si>
  <si>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</si>
  <si>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</si>
  <si>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</si>
  <si>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</si>
  <si>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</si>
  <si>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</si>
  <si>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</si>
  <si>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</si>
  <si>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</si>
  <si>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</si>
  <si>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</si>
  <si>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</si>
  <si>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</si>
  <si>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</si>
  <si>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</si>
  <si>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</si>
  <si>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</si>
  <si>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</si>
  <si>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</si>
  <si>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</si>
  <si>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</si>
  <si>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</si>
  <si>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</si>
  <si>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</si>
  <si>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</si>
  <si>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</si>
  <si>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</si>
  <si>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</si>
  <si>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</si>
  <si>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</si>
  <si>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</si>
  <si>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</si>
  <si>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</si>
  <si>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</si>
  <si>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</si>
  <si>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</si>
  <si>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</si>
  <si>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</si>
  <si>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</si>
  <si>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</si>
  <si>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</si>
  <si>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</si>
  <si>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</si>
  <si>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</si>
  <si>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</si>
  <si>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</si>
  <si>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</si>
  <si>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</si>
  <si>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</si>
  <si>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</si>
  <si>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</si>
  <si>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</si>
  <si>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</si>
  <si>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</si>
  <si>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</si>
  <si>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</si>
  <si>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</si>
  <si>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</si>
  <si>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</si>
  <si>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</si>
  <si>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</si>
  <si>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</si>
  <si>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</si>
  <si>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</si>
  <si>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</si>
  <si>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</si>
  <si>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</si>
  <si>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</si>
  <si>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</si>
  <si>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</si>
  <si>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</si>
  <si>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</si>
  <si>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</si>
  <si>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</si>
  <si>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</si>
  <si>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</si>
  <si>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</si>
  <si>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</si>
  <si>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</si>
  <si>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</si>
  <si>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</si>
  <si>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</si>
  <si>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</si>
  <si>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</si>
  <si>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</si>
  <si>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</si>
  <si>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</si>
  <si>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</si>
  <si>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</si>
  <si>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</si>
  <si>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</si>
  <si>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</si>
  <si>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</si>
  <si>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</si>
  <si>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</si>
  <si>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</si>
  <si>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</si>
  <si>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</si>
  <si>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</si>
  <si>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</si>
  <si>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</si>
  <si>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</si>
  <si>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</si>
  <si>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</si>
  <si>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</si>
  <si>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</si>
  <si>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</si>
  <si>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</si>
  <si>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</si>
  <si>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</si>
  <si>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</si>
  <si>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</si>
  <si>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</si>
  <si>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</si>
  <si>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</si>
  <si>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</si>
  <si>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</si>
  <si>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</si>
  <si>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</si>
  <si>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</si>
  <si>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</si>
  <si>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</si>
  <si>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</si>
  <si>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</si>
  <si>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</si>
  <si>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</si>
  <si>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</si>
  <si>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</si>
  <si>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</si>
  <si>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</si>
  <si>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</si>
  <si>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</si>
  <si>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</si>
  <si>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</si>
  <si>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</si>
  <si>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</si>
  <si>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</si>
  <si>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</si>
  <si>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</si>
  <si>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</si>
  <si>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</si>
  <si>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</si>
  <si>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</si>
  <si>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</si>
  <si>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</si>
  <si>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</si>
  <si>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</si>
  <si>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</si>
  <si>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</si>
  <si>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</si>
  <si>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</si>
  <si>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</si>
  <si>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</si>
  <si>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</si>
  <si>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</si>
  <si>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</si>
  <si>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</si>
  <si>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</si>
  <si>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</si>
  <si>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</si>
  <si>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</si>
  <si>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</si>
  <si>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</si>
  <si>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</si>
  <si>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</si>
  <si>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</si>
  <si>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</si>
  <si>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</si>
  <si>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</si>
  <si>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</si>
  <si>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</si>
  <si>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</si>
  <si>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</si>
  <si>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</si>
  <si>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</si>
  <si>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</si>
  <si>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</si>
  <si>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</si>
  <si>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</si>
  <si>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</si>
  <si>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</si>
  <si>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</si>
  <si>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</si>
  <si>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</si>
  <si>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</si>
  <si>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</si>
  <si>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</si>
  <si>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</si>
  <si>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</si>
  <si>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</si>
  <si>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</si>
  <si>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</si>
  <si>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</si>
  <si>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</si>
  <si>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</si>
  <si>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</si>
  <si>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</si>
  <si>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</si>
  <si>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</si>
  <si>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</si>
  <si>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</si>
  <si>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</si>
  <si>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</si>
  <si>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</si>
  <si>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</si>
  <si>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</si>
  <si>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</si>
  <si>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</si>
  <si>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</si>
  <si>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</si>
  <si>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</si>
  <si>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</si>
  <si>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</si>
  <si>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</si>
  <si>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</si>
  <si>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</si>
  <si>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</si>
  <si>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</si>
  <si>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</si>
  <si>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</si>
  <si>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</si>
  <si>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</si>
  <si>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</si>
  <si>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</si>
  <si>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</si>
  <si>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</si>
  <si>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</si>
  <si>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</si>
  <si>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</si>
  <si>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</si>
  <si>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</si>
  <si>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</si>
  <si>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</si>
  <si>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</si>
  <si>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</si>
  <si>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</si>
  <si>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</si>
  <si>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</si>
  <si>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</si>
  <si>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</si>
  <si>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</si>
  <si>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</si>
  <si>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</si>
  <si>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</si>
  <si>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</si>
  <si>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</si>
  <si>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</si>
  <si>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</si>
  <si>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</si>
  <si>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</si>
  <si>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</si>
  <si>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</si>
  <si>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</si>
  <si>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</si>
  <si>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</si>
  <si>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</si>
  <si>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</si>
  <si>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</si>
  <si>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</si>
  <si>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</si>
  <si>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</si>
  <si>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</si>
  <si>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</si>
  <si>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</si>
  <si>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</si>
  <si>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</si>
  <si>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</si>
  <si>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</si>
  <si>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</si>
  <si>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</si>
  <si>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</si>
  <si>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</si>
  <si>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</si>
  <si>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</si>
  <si>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</si>
  <si>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</si>
  <si>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</si>
  <si>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</si>
  <si>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</si>
  <si>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</si>
  <si>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</si>
  <si>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</si>
  <si>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</si>
  <si>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</si>
  <si>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</si>
  <si>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</si>
  <si>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</si>
  <si>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</si>
  <si>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</si>
  <si>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</si>
  <si>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</si>
  <si>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</si>
  <si>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</si>
  <si>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</si>
  <si>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</si>
  <si>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</si>
  <si>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</si>
  <si>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</si>
  <si>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</si>
  <si>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</si>
  <si>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</si>
  <si>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</si>
  <si>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</si>
  <si>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</si>
  <si>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</si>
  <si>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</si>
  <si>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</si>
  <si>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</si>
  <si>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</si>
  <si>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</si>
  <si>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</si>
  <si>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</si>
  <si>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</si>
  <si>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</si>
  <si>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</si>
  <si>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</si>
  <si>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</si>
  <si>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</si>
  <si>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</si>
  <si>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</si>
  <si>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</si>
  <si>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</si>
  <si>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</si>
  <si>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</si>
  <si>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</si>
  <si>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</si>
  <si>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</si>
  <si>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</si>
  <si>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</si>
  <si>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</si>
  <si>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</si>
  <si>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</si>
  <si>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</si>
  <si>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</si>
  <si>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</si>
  <si>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</si>
  <si>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</si>
  <si>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</si>
  <si>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</si>
  <si>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</si>
  <si>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</si>
  <si>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</si>
  <si>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</si>
  <si>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</si>
  <si>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</si>
  <si>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</si>
  <si>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</si>
  <si>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</si>
  <si>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</si>
  <si>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</si>
  <si>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</si>
  <si>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</si>
  <si>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</si>
  <si>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</si>
  <si>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</si>
  <si>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</si>
  <si>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</si>
  <si>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</si>
  <si>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</si>
  <si>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</si>
  <si>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</si>
  <si>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</si>
  <si>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</si>
  <si>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</si>
  <si>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</si>
  <si>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</si>
  <si>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</si>
  <si>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</si>
  <si>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</si>
  <si>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</si>
  <si>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</si>
  <si>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</si>
  <si>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</si>
  <si>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</si>
  <si>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</si>
  <si>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</si>
  <si>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</si>
  <si>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</si>
  <si>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</si>
  <si>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</si>
  <si>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</si>
  <si>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</si>
  <si>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</si>
  <si>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</si>
  <si>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</si>
  <si>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</si>
  <si>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</si>
  <si>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</si>
  <si>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</si>
  <si>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</si>
  <si>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</si>
  <si>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</si>
  <si>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</si>
  <si>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</si>
  <si>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</si>
  <si>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</si>
  <si>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</si>
  <si>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</si>
  <si>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</si>
  <si>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</si>
  <si>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</si>
  <si>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</si>
  <si>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</si>
  <si>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</si>
  <si>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</si>
  <si>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</si>
  <si>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</si>
  <si>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</si>
  <si>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</si>
  <si>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</si>
  <si>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</si>
  <si>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</si>
  <si>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</si>
  <si>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</si>
  <si>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</si>
  <si>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</si>
  <si>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</si>
  <si>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</si>
  <si>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</si>
  <si>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</si>
  <si>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</si>
  <si>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</si>
  <si>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</si>
  <si>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</si>
  <si>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</si>
  <si>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</si>
  <si>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</si>
  <si>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</si>
  <si>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</si>
  <si>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</si>
  <si>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</si>
  <si>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</si>
  <si>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</si>
  <si>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</si>
  <si>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</si>
  <si>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</si>
  <si>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</si>
  <si>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</si>
  <si>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</si>
  <si>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</si>
  <si>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</si>
  <si>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</si>
  <si>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</si>
  <si>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</si>
  <si>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</si>
  <si>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</si>
  <si>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</si>
  <si>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</si>
  <si>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</si>
  <si>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</si>
  <si>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</si>
  <si>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</si>
  <si>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</si>
  <si>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</si>
  <si>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</si>
  <si>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</si>
  <si>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</si>
  <si>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</si>
  <si>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</si>
  <si>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</si>
  <si>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</si>
  <si>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</si>
  <si>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</si>
  <si>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</si>
  <si>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</si>
  <si>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</si>
  <si>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</si>
  <si>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</si>
  <si>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</si>
  <si>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</si>
  <si>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</si>
  <si>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</si>
  <si>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</si>
  <si>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</si>
  <si>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</si>
  <si>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</si>
  <si>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</si>
  <si>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</si>
  <si>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</si>
  <si>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</si>
  <si>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</si>
  <si>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</si>
  <si>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</si>
  <si>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</si>
  <si>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</si>
  <si>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</si>
  <si>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</si>
  <si>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</si>
  <si>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</si>
  <si>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</si>
  <si>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</si>
  <si>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</si>
  <si>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</si>
  <si>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</si>
  <si>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</si>
  <si>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</si>
  <si>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</si>
  <si>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</si>
  <si>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</si>
  <si>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</si>
  <si>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</si>
  <si>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</si>
  <si>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</si>
  <si>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</si>
  <si>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</si>
  <si>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</si>
  <si>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</si>
  <si>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</si>
  <si>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</si>
  <si>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</si>
  <si>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</si>
  <si>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</si>
  <si>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</si>
  <si>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</si>
  <si>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</si>
  <si>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</si>
  <si>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</si>
  <si>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</si>
  <si>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</si>
  <si>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</si>
  <si>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</si>
  <si>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</si>
  <si>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</si>
  <si>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</si>
  <si>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</si>
  <si>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</si>
  <si>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</si>
  <si>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</si>
  <si>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</si>
  <si>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</si>
  <si>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</si>
  <si>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</si>
  <si>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</si>
  <si>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</si>
  <si>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</si>
  <si>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</si>
  <si>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</si>
  <si>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</si>
  <si>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</si>
  <si>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</si>
  <si>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</si>
  <si>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</si>
  <si>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</si>
  <si>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</si>
  <si>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</si>
  <si>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</si>
  <si>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</si>
  <si>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</si>
  <si>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</si>
  <si>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</si>
  <si>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</si>
  <si>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</si>
  <si>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</si>
  <si>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</si>
  <si>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</si>
  <si>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</si>
  <si>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</si>
  <si>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</si>
  <si>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</si>
  <si>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</si>
  <si>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</si>
  <si>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</si>
  <si>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</si>
  <si>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</si>
  <si>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</si>
  <si>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</si>
  <si>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</si>
  <si>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</si>
  <si>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</si>
  <si>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</si>
  <si>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</si>
  <si>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</si>
  <si>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</si>
  <si>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</si>
  <si>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</si>
  <si>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</si>
  <si>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</si>
  <si>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</si>
  <si>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</si>
  <si>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</si>
  <si>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</si>
  <si>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</si>
  <si>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</si>
  <si>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</si>
  <si>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</si>
  <si>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</si>
  <si>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</si>
  <si>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</si>
  <si>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</si>
  <si>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</si>
  <si>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</si>
  <si>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</si>
  <si>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</si>
  <si>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</si>
  <si>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</si>
  <si>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</si>
  <si>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</si>
  <si>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</si>
  <si>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</si>
  <si>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</si>
  <si>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</si>
  <si>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</si>
  <si>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</si>
  <si>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</si>
  <si>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</si>
  <si>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</si>
  <si>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</si>
  <si>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</si>
  <si>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</si>
  <si>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</si>
  <si>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</si>
  <si>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</si>
  <si>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</si>
  <si>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</si>
  <si>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</si>
  <si>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</si>
  <si>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</si>
  <si>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</si>
  <si>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</si>
  <si>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</si>
  <si>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</si>
  <si>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</si>
  <si>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</si>
  <si>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</si>
  <si>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</si>
  <si>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</si>
  <si>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</si>
  <si>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</si>
  <si>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</si>
  <si>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</si>
  <si>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</si>
  <si>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</si>
  <si>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</si>
  <si>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</si>
  <si>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</si>
  <si>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</si>
  <si>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</si>
  <si>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</si>
  <si>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</si>
  <si>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</si>
  <si>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</si>
  <si>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</si>
  <si>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</si>
  <si>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</si>
  <si>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</si>
  <si>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</si>
  <si>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</si>
  <si>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</si>
  <si>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</si>
  <si>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</si>
  <si>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</si>
  <si>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</si>
  <si>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</si>
  <si>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</si>
  <si>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</si>
  <si>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</si>
  <si>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</si>
  <si>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</si>
  <si>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</si>
  <si>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</si>
  <si>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</si>
  <si>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</si>
  <si>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</si>
  <si>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</si>
  <si>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</si>
  <si>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</si>
  <si>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</si>
  <si>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</si>
  <si>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</si>
  <si>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</si>
  <si>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</si>
  <si>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</si>
  <si>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</si>
  <si>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</si>
  <si>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</si>
  <si>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</si>
  <si>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</si>
  <si>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</si>
  <si>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</si>
  <si>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</si>
  <si>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</si>
  <si>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</si>
  <si>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</si>
  <si>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</si>
  <si>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</si>
  <si>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</si>
  <si>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</si>
  <si>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</si>
  <si>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</si>
  <si>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</si>
  <si>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</si>
  <si>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</si>
  <si>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</si>
  <si>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</si>
  <si>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</si>
  <si>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</si>
  <si>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</si>
  <si>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</si>
  <si>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</si>
  <si>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</si>
  <si>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</si>
  <si>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</si>
  <si>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</si>
  <si>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</si>
  <si>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</si>
  <si>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</si>
  <si>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</si>
  <si>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</si>
  <si>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</si>
  <si>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</si>
  <si>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</si>
  <si>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</si>
  <si>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</si>
  <si>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</si>
  <si>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</si>
  <si>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</si>
  <si>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</si>
  <si>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</si>
  <si>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</si>
  <si>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</si>
  <si>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</si>
  <si>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</si>
  <si>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</si>
  <si>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</si>
  <si>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</si>
  <si>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</si>
  <si>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</si>
  <si>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</si>
  <si>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</si>
  <si>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</si>
  <si>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</si>
  <si>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</si>
  <si>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</si>
  <si>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</si>
  <si>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</si>
  <si>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</si>
  <si>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</si>
  <si>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</si>
  <si>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</si>
  <si>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</si>
  <si>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</si>
  <si>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</si>
  <si>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</si>
  <si>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</si>
  <si>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</si>
  <si>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</si>
  <si>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</si>
  <si>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</si>
  <si>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</si>
  <si>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</si>
  <si>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</si>
  <si>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</si>
  <si>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</si>
  <si>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</si>
  <si>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</si>
  <si>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</si>
  <si>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</si>
  <si>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</si>
  <si>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</si>
  <si>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</si>
  <si>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</si>
  <si>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</si>
  <si>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</si>
  <si>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</si>
  <si>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</si>
  <si>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</si>
  <si>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</si>
  <si>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</si>
  <si>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</si>
  <si>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</si>
  <si>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</si>
  <si>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</si>
  <si>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</si>
  <si>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</si>
  <si>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</si>
  <si>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</si>
  <si>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</si>
  <si>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</si>
  <si>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</si>
  <si>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</si>
  <si>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</si>
  <si>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</si>
  <si>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</si>
  <si>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</si>
  <si>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</si>
  <si>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</si>
  <si>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</si>
  <si>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</si>
  <si>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</si>
  <si>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</si>
  <si>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</si>
  <si>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</si>
  <si>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</si>
  <si>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</si>
  <si>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</si>
  <si>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</si>
  <si>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</si>
  <si>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</si>
  <si>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</si>
  <si>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</si>
  <si>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</si>
  <si>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</si>
  <si>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</si>
  <si>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</si>
  <si>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</si>
  <si>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</si>
  <si>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</si>
  <si>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</si>
  <si>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</si>
  <si>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</si>
  <si>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</si>
  <si>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</si>
  <si>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</si>
  <si>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</si>
  <si>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</si>
  <si>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</si>
  <si>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</si>
  <si>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</si>
  <si>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</si>
  <si>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</si>
  <si>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</si>
  <si>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</si>
  <si>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</si>
  <si>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</si>
  <si>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</si>
  <si>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</si>
  <si>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</si>
  <si>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</si>
  <si>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</si>
  <si>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</si>
  <si>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</si>
  <si>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</si>
  <si>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</si>
  <si>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</si>
  <si>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</si>
  <si>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</si>
  <si>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</si>
  <si>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</si>
  <si>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</si>
  <si>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</si>
  <si>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</si>
  <si>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</si>
  <si>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</si>
  <si>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</si>
  <si>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</si>
  <si>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</si>
  <si>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</si>
  <si>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</si>
  <si>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</si>
  <si>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</si>
  <si>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</si>
  <si>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</si>
  <si>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</si>
  <si>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</si>
  <si>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</si>
  <si>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</si>
  <si>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</si>
  <si>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</si>
  <si>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</si>
  <si>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</si>
  <si>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</si>
  <si>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</si>
  <si>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</si>
  <si>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</si>
  <si>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</si>
  <si>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</si>
  <si>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</si>
  <si>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</si>
  <si>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</si>
  <si>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</si>
  <si>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</si>
  <si>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</si>
  <si>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</si>
  <si>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</si>
  <si>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</si>
  <si>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</si>
  <si>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</si>
  <si>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</si>
  <si>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</si>
  <si>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</si>
  <si>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</si>
  <si>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</si>
  <si>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</si>
  <si>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</si>
  <si>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</si>
  <si>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</si>
  <si>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</si>
  <si>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</si>
  <si>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</si>
  <si>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</si>
  <si>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</si>
  <si>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</si>
  <si>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</si>
  <si>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</si>
  <si>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</si>
  <si>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</si>
  <si>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</si>
  <si>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</si>
  <si>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</si>
  <si>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</si>
  <si>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</si>
  <si>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</si>
  <si>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</si>
  <si>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</si>
  <si>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</si>
  <si>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</si>
  <si>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</si>
  <si>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</si>
  <si>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</si>
  <si>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</si>
  <si>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</si>
  <si>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</si>
  <si>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</si>
  <si>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</si>
  <si>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</si>
  <si>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</si>
  <si>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</si>
  <si>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</si>
  <si>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</si>
  <si>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</si>
  <si>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</si>
  <si>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</si>
  <si>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</si>
  <si>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</si>
  <si>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</si>
  <si>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</si>
  <si>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</si>
  <si>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</si>
  <si>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</si>
  <si>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</si>
  <si>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</si>
  <si>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</si>
  <si>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</si>
  <si>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</si>
  <si>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</si>
  <si>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</si>
  <si>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</si>
  <si>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</si>
  <si>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</si>
  <si>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</si>
  <si>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</si>
  <si>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</si>
  <si>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</si>
  <si>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</si>
  <si>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</si>
  <si>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</si>
  <si>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</si>
  <si>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</si>
  <si>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</si>
  <si>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</si>
  <si>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</si>
  <si>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</si>
  <si>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</si>
  <si>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</si>
  <si>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</si>
  <si>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</si>
  <si>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</si>
  <si>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</si>
  <si>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</si>
  <si>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</si>
  <si>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</si>
  <si>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</si>
  <si>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</si>
  <si>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</si>
  <si>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</si>
  <si>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</si>
  <si>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</si>
  <si>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</si>
  <si>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</si>
  <si>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</si>
  <si>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</si>
  <si>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</si>
  <si>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</si>
  <si>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</si>
  <si>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</si>
  <si>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</si>
  <si>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</si>
  <si>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</si>
  <si>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</si>
  <si>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</si>
  <si>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</si>
  <si>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</si>
  <si>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</si>
  <si>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</si>
  <si>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</si>
  <si>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</si>
  <si>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</si>
  <si>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</si>
  <si>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</si>
  <si>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</si>
  <si>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</si>
  <si>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</si>
  <si>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</si>
  <si>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</si>
  <si>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</si>
  <si>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</si>
  <si>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</si>
  <si>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</si>
  <si>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</si>
  <si>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</si>
  <si>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</si>
  <si>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</si>
  <si>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</si>
  <si>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</si>
  <si>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</si>
  <si>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</si>
  <si>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</si>
  <si>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</si>
  <si>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</si>
  <si>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</si>
  <si>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</si>
  <si>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</si>
  <si>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</si>
  <si>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</si>
  <si>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</si>
  <si>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</si>
  <si>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</si>
  <si>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</si>
  <si>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</si>
  <si>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</si>
  <si>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</si>
  <si>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</si>
  <si>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</si>
  <si>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</si>
  <si>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</si>
  <si>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</si>
  <si>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</si>
  <si>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</si>
  <si>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</si>
  <si>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</si>
  <si>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</si>
  <si>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</si>
  <si>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</si>
  <si>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</si>
  <si>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</si>
  <si>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</si>
  <si>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</si>
  <si>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</si>
  <si>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</si>
  <si>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</si>
  <si>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</si>
  <si>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</si>
  <si>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</si>
  <si>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</si>
  <si>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</si>
  <si>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</si>
  <si>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</si>
  <si>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</si>
  <si>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</si>
  <si>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</si>
  <si>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</si>
  <si>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</si>
  <si>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</si>
  <si>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</si>
  <si>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</si>
  <si>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</si>
  <si>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</si>
  <si>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</si>
  <si>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</si>
  <si>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</si>
  <si>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</si>
  <si>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</si>
  <si>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</si>
  <si>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</si>
  <si>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</si>
  <si>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</si>
  <si>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</si>
  <si>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</si>
  <si>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</si>
  <si>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</si>
  <si>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</si>
  <si>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</si>
  <si>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</si>
  <si>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</si>
  <si>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</si>
  <si>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</si>
  <si>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</si>
  <si>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</si>
  <si>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</si>
  <si>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</si>
  <si>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</si>
  <si>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</si>
  <si>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</si>
  <si>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</si>
  <si>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</si>
  <si>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</si>
  <si>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</si>
  <si>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</si>
  <si>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</si>
  <si>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</si>
  <si>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</si>
  <si>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</si>
  <si>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</si>
  <si>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</si>
  <si>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</si>
  <si>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</si>
  <si>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</si>
  <si>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</si>
  <si>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</si>
  <si>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</si>
  <si>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</si>
  <si>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</si>
  <si>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</si>
  <si>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</si>
  <si>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</si>
  <si>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</si>
  <si>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</si>
  <si>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</si>
  <si>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</si>
  <si>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</si>
  <si>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</si>
  <si>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</si>
  <si>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</si>
  <si>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</si>
  <si>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</si>
  <si>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</si>
  <si>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</si>
  <si>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</si>
  <si>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</si>
  <si>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</si>
  <si>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</si>
  <si>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</si>
  <si>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</si>
  <si>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</si>
  <si>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</si>
  <si>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</si>
  <si>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</si>
  <si>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</si>
  <si>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</si>
  <si>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</si>
  <si>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</si>
  <si>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</si>
  <si>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</si>
  <si>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</si>
  <si>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</si>
  <si>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</si>
  <si>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</si>
  <si>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</si>
  <si>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</si>
  <si>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</si>
  <si>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</si>
  <si>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</si>
  <si>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</si>
  <si>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</si>
  <si>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</si>
  <si>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</si>
  <si>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</si>
  <si>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</si>
  <si>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</si>
  <si>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</si>
  <si>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</si>
  <si>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</si>
  <si>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</si>
  <si>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</si>
  <si>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</si>
  <si>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</si>
  <si>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</si>
  <si>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</si>
  <si>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</si>
  <si>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</si>
  <si>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</si>
  <si>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</si>
  <si>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</si>
  <si>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</si>
  <si>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</si>
  <si>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</si>
  <si>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</si>
  <si>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</si>
  <si>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</si>
  <si>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</si>
  <si>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</si>
  <si>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</si>
  <si>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</si>
  <si>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</si>
  <si>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</si>
  <si>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</si>
  <si>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</si>
  <si>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</si>
  <si>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</si>
  <si>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</si>
  <si>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</si>
  <si>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</si>
  <si>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</si>
  <si>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</si>
  <si>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</si>
  <si>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</si>
  <si>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</si>
  <si>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</si>
  <si>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</si>
  <si>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</si>
  <si>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</si>
  <si>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</si>
  <si>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</si>
  <si>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</si>
  <si>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</si>
  <si>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</si>
  <si>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</si>
  <si>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</si>
  <si>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</si>
  <si>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</si>
  <si>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</si>
  <si>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</si>
  <si>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</si>
  <si>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</si>
  <si>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</si>
  <si>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</si>
  <si>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</si>
  <si>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</si>
  <si>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</si>
  <si>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</si>
  <si>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</si>
  <si>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</si>
  <si>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</si>
  <si>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</si>
  <si>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</si>
  <si>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</si>
  <si>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</si>
  <si>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</si>
  <si>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</si>
  <si>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</si>
  <si>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</si>
  <si>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</si>
  <si>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</si>
  <si>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</si>
  <si>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</si>
  <si>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</si>
  <si>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</si>
  <si>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</si>
  <si>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</si>
  <si>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</si>
  <si>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</si>
  <si>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</si>
  <si>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</si>
  <si>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</si>
  <si>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</si>
  <si>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</si>
  <si>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</si>
  <si>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</si>
  <si>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</si>
  <si>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</si>
  <si>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</si>
  <si>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</si>
  <si>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</si>
  <si>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</si>
  <si>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</si>
  <si>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</si>
  <si>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</si>
  <si>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</si>
  <si>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</si>
  <si>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</si>
  <si>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</si>
  <si>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</si>
  <si>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</si>
  <si>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</si>
  <si>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</si>
  <si>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</si>
  <si>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</si>
  <si>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</si>
  <si>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</si>
  <si>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</si>
  <si>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</si>
  <si>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</si>
  <si>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</si>
  <si>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</si>
  <si>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</si>
  <si>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</si>
  <si>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</si>
  <si>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</si>
  <si>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</si>
  <si>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</si>
  <si>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</si>
  <si>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</si>
  <si>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</si>
  <si>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</si>
  <si>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</si>
  <si>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</si>
  <si>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</si>
  <si>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</si>
  <si>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</si>
  <si>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</si>
  <si>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</si>
  <si>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</si>
  <si>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</si>
  <si>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</si>
  <si>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</si>
  <si>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</si>
  <si>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</si>
  <si>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</si>
  <si>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</si>
  <si>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</si>
  <si>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</si>
  <si>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</si>
  <si>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</si>
  <si>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</si>
  <si>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</si>
  <si>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</si>
  <si>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</si>
  <si>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</si>
  <si>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</si>
  <si>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</si>
  <si>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</si>
  <si>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</si>
  <si>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</si>
  <si>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</si>
  <si>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</si>
  <si>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</si>
  <si>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</si>
  <si>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</si>
  <si>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</si>
  <si>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</si>
  <si>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</si>
  <si>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</si>
  <si>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</si>
  <si>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</si>
  <si>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</si>
  <si>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</si>
  <si>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</si>
  <si>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</si>
  <si>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</si>
  <si>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</si>
  <si>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</si>
  <si>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</si>
  <si>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</si>
  <si>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</si>
  <si>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</si>
  <si>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</si>
  <si>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</si>
  <si>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</si>
  <si>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</si>
  <si>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</si>
  <si>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</si>
  <si>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</si>
  <si>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</si>
  <si>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</si>
  <si>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</si>
  <si>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</si>
  <si>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</si>
  <si>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</si>
  <si>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</si>
  <si>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</si>
  <si>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</si>
  <si>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</si>
  <si>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</si>
  <si>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</si>
  <si>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</si>
  <si>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</si>
  <si>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</si>
  <si>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</si>
  <si>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</si>
  <si>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</si>
  <si>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</si>
  <si>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</si>
  <si>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</si>
  <si>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</si>
  <si>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</si>
  <si>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</si>
  <si>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</si>
  <si>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</si>
  <si>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</si>
  <si>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</si>
  <si>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</si>
  <si>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</si>
  <si>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</si>
  <si>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</si>
  <si>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</si>
  <si>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</si>
  <si>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</si>
  <si>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</si>
  <si>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</si>
  <si>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</si>
  <si>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</si>
  <si>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</si>
  <si>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</si>
  <si>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</si>
  <si>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</si>
  <si>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</si>
  <si>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</si>
  <si>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</si>
  <si>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</si>
  <si>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</si>
  <si>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</si>
  <si>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</si>
  <si>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</si>
  <si>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</si>
  <si>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</si>
  <si>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</si>
  <si>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</si>
  <si>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</si>
  <si>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</si>
  <si>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</si>
  <si>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</si>
  <si>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</si>
  <si>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</si>
  <si>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</si>
  <si>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</si>
  <si>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</si>
  <si>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</si>
  <si>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</si>
  <si>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</si>
  <si>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</si>
  <si>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</si>
  <si>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</si>
  <si>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</si>
  <si>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</si>
  <si>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</si>
  <si>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</si>
  <si>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</si>
  <si>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</si>
  <si>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</si>
  <si>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</si>
  <si>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</si>
  <si>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</si>
  <si>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</si>
  <si>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</si>
  <si>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</si>
  <si>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</si>
  <si>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</si>
  <si>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</si>
  <si>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</si>
  <si>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</si>
  <si>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</si>
  <si>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</si>
  <si>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</si>
  <si>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</si>
  <si>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</si>
  <si>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</si>
  <si>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</si>
  <si>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</si>
  <si>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</si>
  <si>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</si>
  <si>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</si>
  <si>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</si>
  <si>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</si>
  <si>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</si>
  <si>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</si>
  <si>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</si>
  <si>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</si>
  <si>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</si>
  <si>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</si>
  <si>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</si>
  <si>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</si>
  <si>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</si>
  <si>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</si>
  <si>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</si>
  <si>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</si>
  <si>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</si>
  <si>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</si>
  <si>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</si>
  <si>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</si>
  <si>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</si>
  <si>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</si>
  <si>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</si>
  <si>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</si>
  <si>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</si>
  <si>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</si>
  <si>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</si>
  <si>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</si>
  <si>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</si>
  <si>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</si>
  <si>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</si>
  <si>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</si>
  <si>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</si>
  <si>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</si>
  <si>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</si>
  <si>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</si>
  <si>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</si>
  <si>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</si>
  <si>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</si>
  <si>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</si>
  <si>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</si>
  <si>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</si>
  <si>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</si>
  <si>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</si>
  <si>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</si>
  <si>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</si>
  <si>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</si>
  <si>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</si>
  <si>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</si>
  <si>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</si>
  <si>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</si>
  <si>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</si>
  <si>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</si>
  <si>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</si>
  <si>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</si>
  <si>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</si>
  <si>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</si>
  <si>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</si>
  <si>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</si>
  <si>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</si>
  <si>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</si>
  <si>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</si>
  <si>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</si>
  <si>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</si>
  <si>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</si>
  <si>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</si>
  <si>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</si>
  <si>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</si>
  <si>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</si>
  <si>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</si>
  <si>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</si>
  <si>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</si>
  <si>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</si>
  <si>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</si>
  <si>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</si>
  <si>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</si>
  <si>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</si>
  <si>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</si>
  <si>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</si>
  <si>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</si>
  <si>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</si>
  <si>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</si>
  <si>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</si>
  <si>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</si>
  <si>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</si>
  <si>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</si>
  <si>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</si>
  <si>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</si>
  <si>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</si>
  <si>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</si>
  <si>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</si>
  <si>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</si>
  <si>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</si>
  <si>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</si>
  <si>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</si>
  <si>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</si>
  <si>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</si>
  <si>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</si>
  <si>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</si>
  <si>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</si>
  <si>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</si>
  <si>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</si>
  <si>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</si>
  <si>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</si>
  <si>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</si>
  <si>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</si>
  <si>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</si>
  <si>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</si>
  <si>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</si>
  <si>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</si>
  <si>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</si>
  <si>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</si>
  <si>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</si>
  <si>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</si>
  <si>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</si>
  <si>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</si>
  <si>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</si>
  <si>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</si>
  <si>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</si>
  <si>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</si>
  <si>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</si>
  <si>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</si>
  <si>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</si>
  <si>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</si>
  <si>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</si>
  <si>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</si>
  <si>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</si>
  <si>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</si>
  <si>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</si>
  <si>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</si>
  <si>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</si>
  <si>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</si>
  <si>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</si>
  <si>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</si>
  <si>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</si>
  <si>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</si>
  <si>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</si>
  <si>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</si>
  <si>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</si>
  <si>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</si>
  <si>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</si>
  <si>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</si>
  <si>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</si>
  <si>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</si>
  <si>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</si>
  <si>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</si>
  <si>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</si>
  <si>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</si>
  <si>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</si>
  <si>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</si>
  <si>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</si>
  <si>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</si>
  <si>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</si>
  <si>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</si>
  <si>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</si>
  <si>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</si>
  <si>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</si>
  <si>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</si>
  <si>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</si>
  <si>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</si>
  <si>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</si>
  <si>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</si>
  <si>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</si>
  <si>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</si>
  <si>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</si>
  <si>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</si>
  <si>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</si>
  <si>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</si>
  <si>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</si>
  <si>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</si>
  <si>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</si>
  <si>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</si>
  <si>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</si>
  <si>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</si>
  <si>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</si>
  <si>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</si>
  <si>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</si>
  <si>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</si>
  <si>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</si>
  <si>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</si>
  <si>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</si>
  <si>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</si>
  <si>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</si>
  <si>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</si>
  <si>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</si>
  <si>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</si>
  <si>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</si>
  <si>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</si>
  <si>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</si>
  <si>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</si>
  <si>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</si>
  <si>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</si>
  <si>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</si>
  <si>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</si>
  <si>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</si>
  <si>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</si>
  <si>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</si>
  <si>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</si>
  <si>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</si>
  <si>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</si>
  <si>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</si>
  <si>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</si>
  <si>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</si>
  <si>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</si>
  <si>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</si>
  <si>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</si>
  <si>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</si>
  <si>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</si>
  <si>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</si>
  <si>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</si>
  <si>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</si>
  <si>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</si>
  <si>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</si>
  <si>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</si>
  <si>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</si>
  <si>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</si>
  <si>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</si>
  <si>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</si>
  <si>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</si>
  <si>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</si>
  <si>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</si>
  <si>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</si>
  <si>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</si>
  <si>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</si>
  <si>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</si>
  <si>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</si>
  <si>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</si>
  <si>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</si>
  <si>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</si>
  <si>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</si>
  <si>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</si>
  <si>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</si>
  <si>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</si>
  <si>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</si>
  <si>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</si>
  <si>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</si>
  <si>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</si>
  <si>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</si>
  <si>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</si>
  <si>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</si>
  <si>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</si>
  <si>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</si>
  <si>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</si>
  <si>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</si>
  <si>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</si>
  <si>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</si>
  <si>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</si>
  <si>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</si>
  <si>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</si>
  <si>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</si>
  <si>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</si>
  <si>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</si>
  <si>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</si>
  <si>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</si>
  <si>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</si>
  <si>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</si>
  <si>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</si>
  <si>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</si>
  <si>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</si>
  <si>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</si>
  <si>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</si>
  <si>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</si>
  <si>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</si>
  <si>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</si>
  <si>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</si>
  <si>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</si>
  <si>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</si>
  <si>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</si>
  <si>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</si>
  <si>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</si>
  <si>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</si>
  <si>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</si>
  <si>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</si>
  <si>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</si>
  <si>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</si>
  <si>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</si>
  <si>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</si>
  <si>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</si>
  <si>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</si>
  <si>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</si>
  <si>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</si>
  <si>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</si>
  <si>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</si>
  <si>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</si>
  <si>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</si>
  <si>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</si>
  <si>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</si>
  <si>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</si>
  <si>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</si>
  <si>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</si>
  <si>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</si>
  <si>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</si>
  <si>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</si>
  <si>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</si>
  <si>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</si>
  <si>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</si>
  <si>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</si>
  <si>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</si>
  <si>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</si>
  <si>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</si>
  <si>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</si>
  <si>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</si>
  <si>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</si>
  <si>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</si>
  <si>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</si>
  <si>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</si>
  <si>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</si>
  <si>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</si>
  <si>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</si>
  <si>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</si>
  <si>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</si>
  <si>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</si>
  <si>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</si>
  <si>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</si>
  <si>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</si>
  <si>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</si>
  <si>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</si>
  <si>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</si>
  <si>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</si>
  <si>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</si>
  <si>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</si>
  <si>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</si>
  <si>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</si>
  <si>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</si>
  <si>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</si>
  <si>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</si>
  <si>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</si>
  <si>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</si>
  <si>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</si>
  <si>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</si>
  <si>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</si>
  <si>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</si>
  <si>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</si>
  <si>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</si>
  <si>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</si>
  <si>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</si>
  <si>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</si>
  <si>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</si>
  <si>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</si>
  <si>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</si>
  <si>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</si>
  <si>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</si>
  <si>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</si>
  <si>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</si>
  <si>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</si>
  <si>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</si>
  <si>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</si>
  <si>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</si>
  <si>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</si>
  <si>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</si>
  <si>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</si>
  <si>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</si>
  <si>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</si>
  <si>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</si>
  <si>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</si>
  <si>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</si>
  <si>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</si>
  <si>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</si>
  <si>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</si>
  <si>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</si>
  <si>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</si>
  <si>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</si>
  <si>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</si>
  <si>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</si>
  <si>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</si>
  <si>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</si>
  <si>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</si>
  <si>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</si>
  <si>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</si>
  <si>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</si>
  <si>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</si>
  <si>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</si>
  <si>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</si>
  <si>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</si>
  <si>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</si>
  <si>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</si>
  <si>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</si>
  <si>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</si>
  <si>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</si>
  <si>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</si>
  <si>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</si>
  <si>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</si>
  <si>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</si>
  <si>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</si>
  <si>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</si>
  <si>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</si>
  <si>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</si>
  <si>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</si>
  <si>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</si>
  <si>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</si>
  <si>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</si>
  <si>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</si>
  <si>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</si>
  <si>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</si>
  <si>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</si>
  <si>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</si>
  <si>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</si>
  <si>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</si>
  <si>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</si>
  <si>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</si>
  <si>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</si>
  <si>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</si>
  <si>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</si>
  <si>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</si>
  <si>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</si>
  <si>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</si>
  <si>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</si>
  <si>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</si>
  <si>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</si>
  <si>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</si>
  <si>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</si>
  <si>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</si>
  <si>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</si>
  <si>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</si>
  <si>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</si>
  <si>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</si>
  <si>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</si>
  <si>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</si>
  <si>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</si>
  <si>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</si>
  <si>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</si>
  <si>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</si>
  <si>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</si>
  <si>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</si>
  <si>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</si>
  <si>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</si>
  <si>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</si>
  <si>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</si>
  <si>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</si>
  <si>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</si>
  <si>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</si>
  <si>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</si>
  <si>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</si>
  <si>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</si>
  <si>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</si>
  <si>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</si>
  <si>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</si>
  <si>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</si>
  <si>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</si>
  <si>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</si>
  <si>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</si>
  <si>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</si>
  <si>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</si>
  <si>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</si>
  <si>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</si>
  <si>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</si>
  <si>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</si>
  <si>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</si>
  <si>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</si>
  <si>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</si>
  <si>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</si>
  <si>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</si>
  <si>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</si>
  <si>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</si>
  <si>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</si>
  <si>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</si>
  <si>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</si>
  <si>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</si>
  <si>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</si>
  <si>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</si>
  <si>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</si>
  <si>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</si>
  <si>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</si>
  <si>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</si>
  <si>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</si>
  <si>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</si>
  <si>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</si>
  <si>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</si>
  <si>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</si>
  <si>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</si>
  <si>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</si>
  <si>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</si>
  <si>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</si>
  <si>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</si>
  <si>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</si>
  <si>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</si>
  <si>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</si>
  <si>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</si>
  <si>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</si>
  <si>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</si>
  <si>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</si>
  <si>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</si>
  <si>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</si>
  <si>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</si>
  <si>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</si>
  <si>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</si>
  <si>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</si>
  <si>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</si>
  <si>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</si>
  <si>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</si>
  <si>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</si>
  <si>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</si>
  <si>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</si>
  <si>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</si>
  <si>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</si>
  <si>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</si>
  <si>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</si>
  <si>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</si>
  <si>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</si>
  <si>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</si>
  <si>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</si>
  <si>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</si>
  <si>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</si>
  <si>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</si>
  <si>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</si>
  <si>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</si>
  <si>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</si>
  <si>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</si>
  <si>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</si>
  <si>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</si>
  <si>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</si>
  <si>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</si>
  <si>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</si>
  <si>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</si>
  <si>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</si>
  <si>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</si>
  <si>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</si>
  <si>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</si>
  <si>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</si>
  <si>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</si>
  <si>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</si>
  <si>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</si>
  <si>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</si>
  <si>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</si>
  <si>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</si>
  <si>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</si>
  <si>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</si>
  <si>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</si>
  <si>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</si>
  <si>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</si>
  <si>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</si>
  <si>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</si>
  <si>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</si>
  <si>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</si>
  <si>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</si>
  <si>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</si>
  <si>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</si>
  <si>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</si>
  <si>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</si>
  <si>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</si>
  <si>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</si>
  <si>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</si>
  <si>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</si>
  <si>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</si>
  <si>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</si>
  <si>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</si>
  <si>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</si>
  <si>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</si>
  <si>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</si>
  <si>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</si>
  <si>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</si>
  <si>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</si>
  <si>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</si>
  <si>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</si>
  <si>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</si>
  <si>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</si>
  <si>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</si>
  <si>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</si>
  <si>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</si>
  <si>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</si>
  <si>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</si>
  <si>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</si>
  <si>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</si>
  <si>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</si>
  <si>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</si>
  <si>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</si>
  <si>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</si>
  <si>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</si>
  <si>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</si>
  <si>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</si>
  <si>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</si>
  <si>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</si>
  <si>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</si>
  <si>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</si>
  <si>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</si>
  <si>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</si>
  <si>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</si>
  <si>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</si>
  <si>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</si>
  <si>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</si>
  <si>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</si>
  <si>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</si>
  <si>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</si>
  <si>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</si>
  <si>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</si>
  <si>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</si>
  <si>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</si>
  <si>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</si>
  <si>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</si>
  <si>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</si>
  <si>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</si>
  <si>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</si>
  <si>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</si>
  <si>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</si>
  <si>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</si>
  <si>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</si>
  <si>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</si>
  <si>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</si>
  <si>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</si>
  <si>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</si>
  <si>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</si>
  <si>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</si>
  <si>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</si>
  <si>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</si>
  <si>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</si>
  <si>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</si>
  <si>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</si>
  <si>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</si>
  <si>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</si>
  <si>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</si>
  <si>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</si>
  <si>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</si>
  <si>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</si>
  <si>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</si>
  <si>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</si>
  <si>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</si>
  <si>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</si>
  <si>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</si>
  <si>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</si>
  <si>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</si>
  <si>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</si>
  <si>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</si>
  <si>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</si>
  <si>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</si>
  <si>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</si>
  <si>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</si>
  <si>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</si>
  <si>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</si>
  <si>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</si>
  <si>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</si>
  <si>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</si>
  <si>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</si>
  <si>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</si>
  <si>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</si>
  <si>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</si>
  <si>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</si>
  <si>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</si>
  <si>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</si>
  <si>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</si>
  <si>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</si>
  <si>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</si>
  <si>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</si>
  <si>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</si>
  <si>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</si>
  <si>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</si>
  <si>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</si>
  <si>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</si>
  <si>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</si>
  <si>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</si>
  <si>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</si>
  <si>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</si>
  <si>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</si>
  <si>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</si>
  <si>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</si>
  <si>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</si>
  <si>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</si>
  <si>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</si>
  <si>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</si>
  <si>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</si>
  <si>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</si>
  <si>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</si>
  <si>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</si>
  <si>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</si>
  <si>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</si>
  <si>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</si>
  <si>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</si>
  <si>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</si>
  <si>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</si>
  <si>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</si>
  <si>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</si>
  <si>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</si>
  <si>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</si>
  <si>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</si>
  <si>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</si>
  <si>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</si>
  <si>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</si>
  <si>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</si>
  <si>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</si>
  <si>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</si>
  <si>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</si>
  <si>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</si>
  <si>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</si>
  <si>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</si>
  <si>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</si>
  <si>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</si>
  <si>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</si>
  <si>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</si>
  <si>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</si>
  <si>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</si>
  <si>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</si>
  <si>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</si>
  <si>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</si>
  <si>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</si>
  <si>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</si>
  <si>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</si>
  <si>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</si>
  <si>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</si>
  <si>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</si>
  <si>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</si>
  <si>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</si>
  <si>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</si>
  <si>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</si>
  <si>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</si>
  <si>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</si>
  <si>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</si>
  <si>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</si>
  <si>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</si>
  <si>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</si>
  <si>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</si>
  <si>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</si>
  <si>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</si>
  <si>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</si>
  <si>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</si>
  <si>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</si>
  <si>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</si>
  <si>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</si>
  <si>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</si>
  <si>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</si>
  <si>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</si>
  <si>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</si>
  <si>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</si>
  <si>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</si>
  <si>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</si>
  <si>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</si>
  <si>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</si>
  <si>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</si>
  <si>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</si>
  <si>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</si>
  <si>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</si>
  <si>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</si>
  <si>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</si>
  <si>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</si>
  <si>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</si>
  <si>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</si>
  <si>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</si>
  <si>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</si>
  <si>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</si>
  <si>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</si>
  <si>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</si>
  <si>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</si>
  <si>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</si>
  <si>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</si>
  <si>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</si>
  <si>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</si>
  <si>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</si>
  <si>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</si>
  <si>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</si>
  <si>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</si>
  <si>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</si>
  <si>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</si>
  <si>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</si>
  <si>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</si>
  <si>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</si>
  <si>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</si>
  <si>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</si>
  <si>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</si>
  <si>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</si>
  <si>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</si>
  <si>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</si>
  <si>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</si>
  <si>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</si>
  <si>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</si>
  <si>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</si>
  <si>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</si>
  <si>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</si>
  <si>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</si>
  <si>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</si>
  <si>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</si>
  <si>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</si>
  <si>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</si>
  <si>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</si>
  <si>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</si>
  <si>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</si>
  <si>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</si>
  <si>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</si>
  <si>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</si>
  <si>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</si>
  <si>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</si>
  <si>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</si>
  <si>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</si>
  <si>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</si>
  <si>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</si>
  <si>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</si>
  <si>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</si>
  <si>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</si>
  <si>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</si>
  <si>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</si>
  <si>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</si>
  <si>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</si>
  <si>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</si>
  <si>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</si>
  <si>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</si>
  <si>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</si>
  <si>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</si>
  <si>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</si>
  <si>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</si>
  <si>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</si>
  <si>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</si>
  <si>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</si>
  <si>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</si>
  <si>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</si>
  <si>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</si>
  <si>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</si>
  <si>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</si>
  <si>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</si>
  <si>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</si>
  <si>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</si>
  <si>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</si>
  <si>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</si>
  <si>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</si>
  <si>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</si>
  <si>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</si>
  <si>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</si>
  <si>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</si>
  <si>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</si>
  <si>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</si>
  <si>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</si>
  <si>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</si>
  <si>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</si>
  <si>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</si>
  <si>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</si>
  <si>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</si>
  <si>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</si>
  <si>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</si>
  <si>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</si>
  <si>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</si>
  <si>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</si>
  <si>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</si>
  <si>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</si>
  <si>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</si>
  <si>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</si>
  <si>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</si>
  <si>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</si>
  <si>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</si>
  <si>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</si>
  <si>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</si>
  <si>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</si>
  <si>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</si>
  <si>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</si>
  <si>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</si>
  <si>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</si>
  <si>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</si>
  <si>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</si>
  <si>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</si>
  <si>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</si>
  <si>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</si>
  <si>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</si>
  <si>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</si>
  <si>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</si>
  <si>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</si>
  <si>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</si>
  <si>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</si>
  <si>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</si>
  <si>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</si>
  <si>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</si>
  <si>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</si>
  <si>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</si>
  <si>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</si>
  <si>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</si>
  <si>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</si>
  <si>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</si>
  <si>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</si>
  <si>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</si>
  <si>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</si>
  <si>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</si>
  <si>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</si>
  <si>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</si>
  <si>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</si>
  <si>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</si>
  <si>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</si>
  <si>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</si>
  <si>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</si>
  <si>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</si>
  <si>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</si>
  <si>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</si>
  <si>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</si>
  <si>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</si>
  <si>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</si>
  <si>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</si>
  <si>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</si>
  <si>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</si>
  <si>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</si>
  <si>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</si>
  <si>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</si>
  <si>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</si>
  <si>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</si>
  <si>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</si>
  <si>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</si>
  <si>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</si>
  <si>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</si>
  <si>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</si>
  <si>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</si>
  <si>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</si>
  <si>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</si>
  <si>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</si>
  <si>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</si>
  <si>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</si>
  <si>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</si>
  <si>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</si>
  <si>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</si>
  <si>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</si>
  <si>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</si>
  <si>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</si>
  <si>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</si>
  <si>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</si>
  <si>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</si>
  <si>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</si>
  <si>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</si>
  <si>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</si>
  <si>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</si>
  <si>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</si>
  <si>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</si>
  <si>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</si>
  <si>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</si>
  <si>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</si>
  <si>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</si>
  <si>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</si>
  <si>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</si>
  <si>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</si>
  <si>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</si>
  <si>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</si>
  <si>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</si>
  <si>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</si>
  <si>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</si>
  <si>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</si>
  <si>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</si>
  <si>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</si>
  <si>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</si>
  <si>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</si>
  <si>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</si>
  <si>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</si>
  <si>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</si>
  <si>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</si>
  <si>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</si>
  <si>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</si>
  <si>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</si>
  <si>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</si>
  <si>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</si>
  <si>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</si>
  <si>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</si>
  <si>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</si>
  <si>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</si>
  <si>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</si>
  <si>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</si>
  <si>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</si>
  <si>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</si>
  <si>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</si>
  <si>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</si>
  <si>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</si>
  <si>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</si>
  <si>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</si>
  <si>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</si>
  <si>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</si>
  <si>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</si>
  <si>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</si>
  <si>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</si>
  <si>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</si>
  <si>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</si>
  <si>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</si>
  <si>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</si>
  <si>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</si>
  <si>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</si>
  <si>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</si>
  <si>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</si>
  <si>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</si>
  <si>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</si>
  <si>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</si>
  <si>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</si>
  <si>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</si>
  <si>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</si>
  <si>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</si>
  <si>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</si>
  <si>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</si>
  <si>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</si>
  <si>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</si>
  <si>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</si>
  <si>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</si>
  <si>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</si>
  <si>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</si>
  <si>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</si>
  <si>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</si>
  <si>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</si>
  <si>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</si>
  <si>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</si>
  <si>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</si>
  <si>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</si>
  <si>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</si>
  <si>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</si>
  <si>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</si>
  <si>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</si>
  <si>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</si>
  <si>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</si>
  <si>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</si>
  <si>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</si>
  <si>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</si>
  <si>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</si>
  <si>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</si>
  <si>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</si>
  <si>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</si>
  <si>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</si>
  <si>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</si>
  <si>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</si>
  <si>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</si>
  <si>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</si>
  <si>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</si>
  <si>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</si>
  <si>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</si>
  <si>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</si>
  <si>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</si>
  <si>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</si>
  <si>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</si>
  <si>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</si>
  <si>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</si>
  <si>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</si>
  <si>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</si>
  <si>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</si>
  <si>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</si>
  <si>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</si>
  <si>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</si>
  <si>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</si>
  <si>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</si>
  <si>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</si>
  <si>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</si>
  <si>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</si>
  <si>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</si>
  <si>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</si>
  <si>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</si>
  <si>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</si>
  <si>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</si>
  <si>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</si>
  <si>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</si>
  <si>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</si>
  <si>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</si>
  <si>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</si>
  <si>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</si>
  <si>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</si>
  <si>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</si>
  <si>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</si>
  <si>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</si>
  <si>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</si>
  <si>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</si>
  <si>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</si>
  <si>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</si>
  <si>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</si>
  <si>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</si>
  <si>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</si>
  <si>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</si>
  <si>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</si>
  <si>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</si>
  <si>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</si>
  <si>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</si>
  <si>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</si>
  <si>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</si>
  <si>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</si>
  <si>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</si>
  <si>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</si>
  <si>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</si>
  <si>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</si>
  <si>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</si>
  <si>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</si>
  <si>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</si>
  <si>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</si>
  <si>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</si>
  <si>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</si>
  <si>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</si>
  <si>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</si>
  <si>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</si>
  <si>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</si>
  <si>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</si>
  <si>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</si>
  <si>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</si>
  <si>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</si>
  <si>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</si>
  <si>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</si>
  <si>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</si>
  <si>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</si>
  <si>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</si>
  <si>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</si>
  <si>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</si>
  <si>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</si>
  <si>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</si>
  <si>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</si>
  <si>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</si>
  <si>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</si>
  <si>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</si>
  <si>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</si>
  <si>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</si>
  <si>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</si>
  <si>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</si>
  <si>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</si>
  <si>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</si>
  <si>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</si>
  <si>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</si>
  <si>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</si>
  <si>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</si>
  <si>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</si>
  <si>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</si>
  <si>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</si>
  <si>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</si>
  <si>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</si>
  <si>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</si>
  <si>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</si>
  <si>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</si>
  <si>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</si>
  <si>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</si>
  <si>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</si>
  <si>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</si>
  <si>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</si>
  <si>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</si>
  <si>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</si>
  <si>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</si>
  <si>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</si>
  <si>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</si>
  <si>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</si>
  <si>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</si>
  <si>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</si>
  <si>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</si>
  <si>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</si>
  <si>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</si>
  <si>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</si>
  <si>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</si>
  <si>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</si>
  <si>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</si>
  <si>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</si>
  <si>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</si>
  <si>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</si>
  <si>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</si>
  <si>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</si>
  <si>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</si>
  <si>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</si>
  <si>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</si>
  <si>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</si>
  <si>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</si>
  <si>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</si>
  <si>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</si>
  <si>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</si>
  <si>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</si>
  <si>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</si>
  <si>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</si>
  <si>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</si>
  <si>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</si>
  <si>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</si>
  <si>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</si>
  <si>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</si>
  <si>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</si>
  <si>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</si>
  <si>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</si>
  <si>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</si>
  <si>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</si>
  <si>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</si>
  <si>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</si>
  <si>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</si>
  <si>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</si>
  <si>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</si>
  <si>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</si>
  <si>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</si>
  <si>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</si>
  <si>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</si>
  <si>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</si>
  <si>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</si>
  <si>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</si>
  <si>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</si>
  <si>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</si>
  <si>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</si>
  <si>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</si>
  <si>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</si>
  <si>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</si>
  <si>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</si>
  <si>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</si>
  <si>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</si>
  <si>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</si>
  <si>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</si>
  <si>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</si>
  <si>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</si>
  <si>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</si>
  <si>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</si>
  <si>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</si>
  <si>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</si>
  <si>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</si>
  <si>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</si>
  <si>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</si>
  <si>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</si>
  <si>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</si>
  <si>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</si>
  <si>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</si>
  <si>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</si>
  <si>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</si>
  <si>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</si>
  <si>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</si>
  <si>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</si>
  <si>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</si>
  <si>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</si>
  <si>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</si>
  <si>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</si>
  <si>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</si>
  <si>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</si>
  <si>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</si>
  <si>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</si>
  <si>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</si>
  <si>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</si>
  <si>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</si>
  <si>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</si>
  <si>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</si>
  <si>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</si>
  <si>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</si>
  <si>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</si>
  <si>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</si>
  <si>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</si>
  <si>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</si>
  <si>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</si>
  <si>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</si>
  <si>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</si>
  <si>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</si>
  <si>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</si>
  <si>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</si>
  <si>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</si>
  <si>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</si>
  <si>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</si>
  <si>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</si>
  <si>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</si>
  <si>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</si>
  <si>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</si>
  <si>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</si>
  <si>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</si>
  <si>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</si>
  <si>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</si>
  <si>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</si>
  <si>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</si>
  <si>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</si>
  <si>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</si>
  <si>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</si>
  <si>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</si>
  <si>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</si>
  <si>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</si>
  <si>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</si>
  <si>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</si>
  <si>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</si>
  <si>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</si>
  <si>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</si>
  <si>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</si>
  <si>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</si>
  <si>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</si>
  <si>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</si>
  <si>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</si>
  <si>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</si>
  <si>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</si>
  <si>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</si>
  <si>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</si>
  <si>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</si>
  <si>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</si>
  <si>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</si>
  <si>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</si>
  <si>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</si>
  <si>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</si>
  <si>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</si>
  <si>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</si>
  <si>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</si>
  <si>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</si>
  <si>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</si>
  <si>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</si>
  <si>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</si>
  <si>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</si>
  <si>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</si>
  <si>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</si>
  <si>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</si>
  <si>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</si>
  <si>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</si>
  <si>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</si>
  <si>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</si>
  <si>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</si>
  <si>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</si>
  <si>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</si>
  <si>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</si>
  <si>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</si>
  <si>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</si>
  <si>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</si>
  <si>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</si>
  <si>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</si>
  <si>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</si>
  <si>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</si>
  <si>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</si>
  <si>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</si>
  <si>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</si>
  <si>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</si>
  <si>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</si>
  <si>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</si>
  <si>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</si>
  <si>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</si>
  <si>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</si>
  <si>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</si>
  <si>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</si>
  <si>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</si>
  <si>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</si>
  <si>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</si>
  <si>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</si>
  <si>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</si>
  <si>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</si>
  <si>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</si>
  <si>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</si>
  <si>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</si>
  <si>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</si>
  <si>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</si>
  <si>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</si>
  <si>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</si>
  <si>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</si>
  <si>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</si>
  <si>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</si>
  <si>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</si>
  <si>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</si>
  <si>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</si>
  <si>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</si>
  <si>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</si>
  <si>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</si>
  <si>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</si>
  <si>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</si>
  <si>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</si>
  <si>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</si>
  <si>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</si>
  <si>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</si>
  <si>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</si>
  <si>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</si>
  <si>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</si>
  <si>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</si>
  <si>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</si>
  <si>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</si>
  <si>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</si>
  <si>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</si>
  <si>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</si>
  <si>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</si>
  <si>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</si>
  <si>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</si>
  <si>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</si>
  <si>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</si>
  <si>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</si>
  <si>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</si>
  <si>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</si>
  <si>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</si>
  <si>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</si>
  <si>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</si>
  <si>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</si>
  <si>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</si>
  <si>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</si>
  <si>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</si>
  <si>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</si>
  <si>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</si>
  <si>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</si>
  <si>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</si>
  <si>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</si>
  <si>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</si>
  <si>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</si>
  <si>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</si>
  <si>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</si>
  <si>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</si>
  <si>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</si>
  <si>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</si>
  <si>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</si>
  <si>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</si>
  <si>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</si>
  <si>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</si>
  <si>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</si>
  <si>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</si>
  <si>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</si>
  <si>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</si>
  <si>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</si>
  <si>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</si>
  <si>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</si>
  <si>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</si>
  <si>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</si>
  <si>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</si>
  <si>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</si>
  <si>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</si>
  <si>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</si>
  <si>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</si>
  <si>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</si>
  <si>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</si>
  <si>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</si>
  <si>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</si>
  <si>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</si>
  <si>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</si>
  <si>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</si>
  <si>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</si>
  <si>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</si>
  <si>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</si>
  <si>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</si>
  <si>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</si>
  <si>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</si>
  <si>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</si>
  <si>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</si>
  <si>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</si>
  <si>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</si>
  <si>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</si>
  <si>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</si>
  <si>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</si>
  <si>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</si>
  <si>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</si>
  <si>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</si>
  <si>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</si>
  <si>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</si>
  <si>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</si>
  <si>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</si>
  <si>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</si>
  <si>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</si>
  <si>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</si>
  <si>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</si>
  <si>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</si>
  <si>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</si>
  <si>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</si>
  <si>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</si>
  <si>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</si>
  <si>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</si>
  <si>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</si>
  <si>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</si>
  <si>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</si>
  <si>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</si>
  <si>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</si>
  <si>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</si>
  <si>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</si>
  <si>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</si>
  <si>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</si>
  <si>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</si>
  <si>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</si>
  <si>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</si>
  <si>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</si>
  <si>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</si>
  <si>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</si>
  <si>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</si>
  <si>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</si>
  <si>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</si>
  <si>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</si>
  <si>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</si>
  <si>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</si>
  <si>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</si>
  <si>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</si>
  <si>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</si>
  <si>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</si>
  <si>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</si>
  <si>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</si>
  <si>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</si>
  <si>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</si>
  <si>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</si>
  <si>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</si>
  <si>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</si>
  <si>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</si>
  <si>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</si>
  <si>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</si>
  <si>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</si>
  <si>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</si>
  <si>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</si>
  <si>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</si>
  <si>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</si>
  <si>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</si>
  <si>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</si>
  <si>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</si>
  <si>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</si>
  <si>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</si>
  <si>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</si>
  <si>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</si>
  <si>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</si>
  <si>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</si>
  <si>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</si>
  <si>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</si>
  <si>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</si>
  <si>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</si>
  <si>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</si>
  <si>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</si>
  <si>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</si>
  <si>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</si>
  <si>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</si>
  <si>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</si>
  <si>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</si>
  <si>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</si>
  <si>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</si>
  <si>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</si>
  <si>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</si>
  <si>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</si>
  <si>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</si>
  <si>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</si>
  <si>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</si>
  <si>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</si>
  <si>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</si>
  <si>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</si>
  <si>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</si>
  <si>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</si>
  <si>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</si>
  <si>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</si>
  <si>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</si>
  <si>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</si>
  <si>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</si>
  <si>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</si>
  <si>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</si>
  <si>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</si>
  <si>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</si>
  <si>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</si>
  <si>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</si>
  <si>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</si>
  <si>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</si>
  <si>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</si>
  <si>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</si>
  <si>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</si>
  <si>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</si>
  <si>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</si>
  <si>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</si>
  <si>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</si>
  <si>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</si>
  <si>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</si>
  <si>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</si>
  <si>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</si>
  <si>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</si>
  <si>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</si>
  <si>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</si>
  <si>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</si>
  <si>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</si>
  <si>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</si>
  <si>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</si>
  <si>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</si>
  <si>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</si>
  <si>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</si>
  <si>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</si>
  <si>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</si>
  <si>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</si>
  <si>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</si>
  <si>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</si>
  <si>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</si>
  <si>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</si>
  <si>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</si>
  <si>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</si>
  <si>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</si>
  <si>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</si>
  <si>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</si>
  <si>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</si>
  <si>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</si>
  <si>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</si>
  <si>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</si>
  <si>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</si>
  <si>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</si>
  <si>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</si>
  <si>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</si>
  <si>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</si>
  <si>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</si>
  <si>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</si>
  <si>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</si>
  <si>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</si>
  <si>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</si>
  <si>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</si>
  <si>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</si>
  <si>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</si>
  <si>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</si>
  <si>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</si>
  <si>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</si>
  <si>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</si>
  <si>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</si>
  <si>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</si>
  <si>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</si>
  <si>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</si>
  <si>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</si>
  <si>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</si>
  <si>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</si>
  <si>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</si>
  <si>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</si>
  <si>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</si>
  <si>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</si>
  <si>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</si>
  <si>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</si>
  <si>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</si>
  <si>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</si>
  <si>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</si>
  <si>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</si>
  <si>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</si>
  <si>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</si>
  <si>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</si>
  <si>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</si>
  <si>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</si>
  <si>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</si>
  <si>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</si>
  <si>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</si>
  <si>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</si>
  <si>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</si>
  <si>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</si>
  <si>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</si>
  <si>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</si>
  <si>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</si>
  <si>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</si>
  <si>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</si>
  <si>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</si>
  <si>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</si>
  <si>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</si>
  <si>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</si>
  <si>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</si>
  <si>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</si>
  <si>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</si>
  <si>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</si>
  <si>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</si>
  <si>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</si>
  <si>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</si>
  <si>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</si>
  <si>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</si>
  <si>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</si>
  <si>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</si>
  <si>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</si>
  <si>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</si>
  <si>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</si>
  <si>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</si>
  <si>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</si>
  <si>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</si>
  <si>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</si>
  <si>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</si>
  <si>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</si>
  <si>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</si>
  <si>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</si>
  <si>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</si>
  <si>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</si>
  <si>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</si>
  <si>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</si>
  <si>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</si>
  <si>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</si>
  <si>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</si>
  <si>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</si>
  <si>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</si>
  <si>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</si>
  <si>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</si>
  <si>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</si>
  <si>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</si>
  <si>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</si>
  <si>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</si>
  <si>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</si>
  <si>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</si>
  <si>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</si>
  <si>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</si>
  <si>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</si>
  <si>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</si>
  <si>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</si>
  <si>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</si>
  <si>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</si>
  <si>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</si>
  <si>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</si>
  <si>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</si>
  <si>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</si>
  <si>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</si>
  <si>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</si>
  <si>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</si>
  <si>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</si>
  <si>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</si>
  <si>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</si>
  <si>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</si>
  <si>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</si>
  <si>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</si>
  <si>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</si>
  <si>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</si>
  <si>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</si>
  <si>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</si>
  <si>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</si>
  <si>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</si>
  <si>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</si>
  <si>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</si>
  <si>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</si>
  <si>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</si>
  <si>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</si>
  <si>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</si>
  <si>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</si>
  <si>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</si>
  <si>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</si>
  <si>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</si>
  <si>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</si>
  <si>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</si>
  <si>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</si>
  <si>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</si>
  <si>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</si>
  <si>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</si>
  <si>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</si>
  <si>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</si>
  <si>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</si>
  <si>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</si>
  <si>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</si>
  <si>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</si>
  <si>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</si>
  <si>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</si>
  <si>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</si>
  <si>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</si>
  <si>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</si>
  <si>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</si>
  <si>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</si>
  <si>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</si>
  <si>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</si>
  <si>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</si>
  <si>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</si>
  <si>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</si>
  <si>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</si>
  <si>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</si>
  <si>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</si>
  <si>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</si>
  <si>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</si>
  <si>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</si>
  <si>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</si>
  <si>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</si>
  <si>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</si>
  <si>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</si>
  <si>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</si>
  <si>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</si>
  <si>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</si>
  <si>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</si>
  <si>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</si>
  <si>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</si>
  <si>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</si>
  <si>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</si>
  <si>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</si>
  <si>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</si>
  <si>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</si>
  <si>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</si>
  <si>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</si>
  <si>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</si>
  <si>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</si>
  <si>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</si>
  <si>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</si>
  <si>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</si>
  <si>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</si>
  <si>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</si>
  <si>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</si>
  <si>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</si>
  <si>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</si>
  <si>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</si>
  <si>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</si>
  <si>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</si>
  <si>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</si>
  <si>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</si>
  <si>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</si>
  <si>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</si>
  <si>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</si>
  <si>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</si>
  <si>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</si>
  <si>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</si>
  <si>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</si>
  <si>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</si>
  <si>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</si>
  <si>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</si>
  <si>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</si>
  <si>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</si>
  <si>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</si>
  <si>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</si>
  <si>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</si>
  <si>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</si>
  <si>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</si>
  <si>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</si>
  <si>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</si>
  <si>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</si>
  <si>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</si>
  <si>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</si>
  <si>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</si>
  <si>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</si>
  <si>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</si>
  <si>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</si>
  <si>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</si>
  <si>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</si>
  <si>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</si>
  <si>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</si>
  <si>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</si>
  <si>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</si>
  <si>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</si>
  <si>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</si>
  <si>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</si>
  <si>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</si>
  <si>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</si>
  <si>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</si>
  <si>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</si>
  <si>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</si>
  <si>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</si>
  <si>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</si>
  <si>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</si>
  <si>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</si>
  <si>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</si>
  <si>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</si>
  <si>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</si>
  <si>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</si>
  <si>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</si>
  <si>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</si>
  <si>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</si>
  <si>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</si>
  <si>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</si>
  <si>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</si>
  <si>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</si>
  <si>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</si>
  <si>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</si>
  <si>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</si>
  <si>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</si>
  <si>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</si>
  <si>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</si>
  <si>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</si>
  <si>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</si>
  <si>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</si>
  <si>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</si>
  <si>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</si>
  <si>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</si>
  <si>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</si>
  <si>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</si>
  <si>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</si>
  <si>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</si>
  <si>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</si>
  <si>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</si>
  <si>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</si>
  <si>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</si>
  <si>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</si>
  <si>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</si>
  <si>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</si>
  <si>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</si>
  <si>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</si>
  <si>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</si>
  <si>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</si>
  <si>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</si>
  <si>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</si>
  <si>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</si>
  <si>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</si>
  <si>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</si>
  <si>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</si>
  <si>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</si>
  <si>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</si>
  <si>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</si>
  <si>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</si>
  <si>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</si>
  <si>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</si>
  <si>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</si>
  <si>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</si>
  <si>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</si>
  <si>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</si>
  <si>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</si>
  <si>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</si>
  <si>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</si>
  <si>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</si>
  <si>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</si>
  <si>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</si>
  <si>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</si>
  <si>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</si>
  <si>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</si>
  <si>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</si>
  <si>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</si>
  <si>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</si>
  <si>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</si>
  <si>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</si>
  <si>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</si>
  <si>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</si>
  <si>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</si>
  <si>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</si>
  <si>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</si>
  <si>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</si>
  <si>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</si>
  <si>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</si>
  <si>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</si>
  <si>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</si>
  <si>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</si>
  <si>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</si>
  <si>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</si>
  <si>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</si>
  <si>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</si>
  <si>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</si>
  <si>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</si>
  <si>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</si>
  <si>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</si>
  <si>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</si>
  <si>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</si>
  <si>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</si>
  <si>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</si>
  <si>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</si>
  <si>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</si>
  <si>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</si>
  <si>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</si>
  <si>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</si>
  <si>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</si>
  <si>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</si>
  <si>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</si>
  <si>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</si>
  <si>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</si>
  <si>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</si>
  <si>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</si>
  <si>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</si>
  <si>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</si>
  <si>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</si>
  <si>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</si>
  <si>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</si>
  <si>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</si>
  <si>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</si>
  <si>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</si>
  <si>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</si>
  <si>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</si>
  <si>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</si>
  <si>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</si>
  <si>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</si>
  <si>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</si>
  <si>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</si>
  <si>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</si>
  <si>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</si>
  <si>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</si>
  <si>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</si>
  <si>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</si>
  <si>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</si>
  <si>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</si>
  <si>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</si>
  <si>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</si>
  <si>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</si>
  <si>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</si>
  <si>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</si>
  <si>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</si>
  <si>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</si>
  <si>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</si>
  <si>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</si>
  <si>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</si>
  <si>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</si>
  <si>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</si>
  <si>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</si>
  <si>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</si>
  <si>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</si>
  <si>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</si>
  <si>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</si>
  <si>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</si>
  <si>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</si>
  <si>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</si>
  <si>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</si>
  <si>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</si>
  <si>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</si>
  <si>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</si>
  <si>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</si>
  <si>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</si>
  <si>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</si>
  <si>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</si>
  <si>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</si>
  <si>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</si>
  <si>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</si>
  <si>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</si>
  <si>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</si>
  <si>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</si>
  <si>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</si>
  <si>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</si>
  <si>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</si>
  <si>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</si>
  <si>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</si>
  <si>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</si>
  <si>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</si>
  <si>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</si>
  <si>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</si>
  <si>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</si>
  <si>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</si>
  <si>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</si>
  <si>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</si>
  <si>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</si>
  <si>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</si>
  <si>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</si>
  <si>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</si>
  <si>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</si>
  <si>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</si>
  <si>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</si>
  <si>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</si>
  <si>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</si>
  <si>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</si>
  <si>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</si>
  <si>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</si>
  <si>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</si>
  <si>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</si>
  <si>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</si>
  <si>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</si>
  <si>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</si>
  <si>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</si>
  <si>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</si>
  <si>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</si>
  <si>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</si>
  <si>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</si>
  <si>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</si>
  <si>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</si>
  <si>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</si>
  <si>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</si>
  <si>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</si>
  <si>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</si>
  <si>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</si>
  <si>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</si>
  <si>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</si>
  <si>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</si>
  <si>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</si>
  <si>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</si>
  <si>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</si>
  <si>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</si>
  <si>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</si>
  <si>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</si>
  <si>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</si>
  <si>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</si>
  <si>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</si>
  <si>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</si>
  <si>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</si>
  <si>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</si>
  <si>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</si>
  <si>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</si>
  <si>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</si>
  <si>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</si>
  <si>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</si>
  <si>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</si>
  <si>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</si>
  <si>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</si>
  <si>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</si>
  <si>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</si>
  <si>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</si>
  <si>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</si>
  <si>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</si>
  <si>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</si>
  <si>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</si>
  <si>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</si>
  <si>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</si>
  <si>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</si>
  <si>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</si>
  <si>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</si>
  <si>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</si>
  <si>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</si>
  <si>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</si>
  <si>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</si>
  <si>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</si>
  <si>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</si>
  <si>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</si>
  <si>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</si>
  <si>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</si>
  <si>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</si>
  <si>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</si>
  <si>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</si>
  <si>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</si>
  <si>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</si>
  <si>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</si>
  <si>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</si>
  <si>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</si>
  <si>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</si>
  <si>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</si>
  <si>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</si>
  <si>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</si>
  <si>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</si>
  <si>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</si>
  <si>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</si>
  <si>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</si>
  <si>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</si>
  <si>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</si>
  <si>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</si>
  <si>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</si>
  <si>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</si>
  <si>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</si>
  <si>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</si>
  <si>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</si>
  <si>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</si>
  <si>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</si>
  <si>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</si>
  <si>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</si>
  <si>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</si>
  <si>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</si>
  <si>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</si>
  <si>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</si>
  <si>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</si>
  <si>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</si>
  <si>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</si>
  <si>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</si>
  <si>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</si>
  <si>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</si>
  <si>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</si>
  <si>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</si>
  <si>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</si>
  <si>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</si>
  <si>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</si>
  <si>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</si>
  <si>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</si>
  <si>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</si>
  <si>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</si>
  <si>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</si>
  <si>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</si>
  <si>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</si>
  <si>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</si>
  <si>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</si>
  <si>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</si>
  <si>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</si>
  <si>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</si>
  <si>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</si>
  <si>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</si>
  <si>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</si>
  <si>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</si>
  <si>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</si>
  <si>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</si>
  <si>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</si>
  <si>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</si>
  <si>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</si>
  <si>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</si>
  <si>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</si>
  <si>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</si>
  <si>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</si>
  <si>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</si>
  <si>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</si>
  <si>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</si>
  <si>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</si>
  <si>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</si>
  <si>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</si>
  <si>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</si>
  <si>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</si>
  <si>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</si>
  <si>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</si>
  <si>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</si>
  <si>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</si>
  <si>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</si>
  <si>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</si>
  <si>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</si>
  <si>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</si>
  <si>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</si>
  <si>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</si>
  <si>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</si>
  <si>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</si>
  <si>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</si>
  <si>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</si>
  <si>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</si>
  <si>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</si>
  <si>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</si>
  <si>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</si>
  <si>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</si>
  <si>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</si>
  <si>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</si>
  <si>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</si>
  <si>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</si>
  <si>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</si>
  <si>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</si>
  <si>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</si>
  <si>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</si>
  <si>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</si>
  <si>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</si>
  <si>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</si>
  <si>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</si>
  <si>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</si>
  <si>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</si>
  <si>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</si>
  <si>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</si>
  <si>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</si>
  <si>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</si>
  <si>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</si>
  <si>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</si>
  <si>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</si>
  <si>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</si>
  <si>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</si>
  <si>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</si>
  <si>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</si>
  <si>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</si>
  <si>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</si>
  <si>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</si>
  <si>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</si>
  <si>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</si>
  <si>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</si>
  <si>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</si>
  <si>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</si>
  <si>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</si>
  <si>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</si>
  <si>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</si>
  <si>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</si>
  <si>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</si>
  <si>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</si>
  <si>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</si>
  <si>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</si>
  <si>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</si>
  <si>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</si>
  <si>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</si>
  <si>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</si>
  <si>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</si>
  <si>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</si>
  <si>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</si>
  <si>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</si>
  <si>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</si>
  <si>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</si>
  <si>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</si>
  <si>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</si>
  <si>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</si>
  <si>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</si>
  <si>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</si>
  <si>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</si>
  <si>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</si>
  <si>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</si>
  <si>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</si>
  <si>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</si>
  <si>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</si>
  <si>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</si>
  <si>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</si>
  <si>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</si>
  <si>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</si>
  <si>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</si>
  <si>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</si>
  <si>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</si>
  <si>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</si>
  <si>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</si>
  <si>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</si>
  <si>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</si>
  <si>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</si>
  <si>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</si>
  <si>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</si>
  <si>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</si>
  <si>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</si>
  <si>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</si>
  <si>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</si>
  <si>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</si>
  <si>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</si>
  <si>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</si>
  <si>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</si>
  <si>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</si>
  <si>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</si>
  <si>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</si>
  <si>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</si>
  <si>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</si>
  <si>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</si>
  <si>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</si>
  <si>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</si>
  <si>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</si>
  <si>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</si>
  <si>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</si>
  <si>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</si>
  <si>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</si>
  <si>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</si>
  <si>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</si>
  <si>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</si>
  <si>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</si>
  <si>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</si>
  <si>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</si>
  <si>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</si>
  <si>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</si>
  <si>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</si>
  <si>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</si>
  <si>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</si>
  <si>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</si>
  <si>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</si>
  <si>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</si>
  <si>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</si>
  <si>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</si>
  <si>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</si>
  <si>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</si>
  <si>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</si>
  <si>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</si>
  <si>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</si>
  <si>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</si>
  <si>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</si>
  <si>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</si>
  <si>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</si>
  <si>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</si>
  <si>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</si>
  <si>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</si>
  <si>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</si>
  <si>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</si>
  <si>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</si>
  <si>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</si>
  <si>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</si>
  <si>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</si>
  <si>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</si>
  <si>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</si>
  <si>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</si>
  <si>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</si>
  <si>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</si>
  <si>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</si>
  <si>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</si>
  <si>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</si>
  <si>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</si>
  <si>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</si>
  <si>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</si>
  <si>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</si>
  <si>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</si>
  <si>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</si>
  <si>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</si>
  <si>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</si>
  <si>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</si>
  <si>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</si>
  <si>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</si>
  <si>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</si>
  <si>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</si>
  <si>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</si>
  <si>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</si>
  <si>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</si>
  <si>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</si>
  <si>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</si>
  <si>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</si>
  <si>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</si>
  <si>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</si>
  <si>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</si>
  <si>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</si>
  <si>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</si>
  <si>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</si>
  <si>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</si>
  <si>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</si>
  <si>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</si>
  <si>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</si>
  <si>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</si>
  <si>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</si>
  <si>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</si>
  <si>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</si>
  <si>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</si>
  <si>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</si>
  <si>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</si>
  <si>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</si>
  <si>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</si>
  <si>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</si>
  <si>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</si>
  <si>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</si>
  <si>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</si>
  <si>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</si>
  <si>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</si>
  <si>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</si>
  <si>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</si>
  <si>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</si>
  <si>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</si>
  <si>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</si>
  <si>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</si>
  <si>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</si>
  <si>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</si>
  <si>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</si>
  <si>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</si>
  <si>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</si>
  <si>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</si>
  <si>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</si>
  <si>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</si>
  <si>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</si>
  <si>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</si>
  <si>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</si>
  <si>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</si>
  <si>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</si>
  <si>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</si>
  <si>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</si>
  <si>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</si>
  <si>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</si>
  <si>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</si>
  <si>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</si>
  <si>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</si>
  <si>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</si>
  <si>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</si>
  <si>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</si>
  <si>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</si>
  <si>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</si>
  <si>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</si>
  <si>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</si>
  <si>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</si>
  <si>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</si>
  <si>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</si>
  <si>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</si>
  <si>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</si>
  <si>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</si>
  <si>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</si>
  <si>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</si>
  <si>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</si>
  <si>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</si>
  <si>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</si>
  <si>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</si>
  <si>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</si>
  <si>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</si>
  <si>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</si>
  <si>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</si>
  <si>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</si>
  <si>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</si>
  <si>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</si>
  <si>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</si>
  <si>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</si>
  <si>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</si>
  <si>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</si>
  <si>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</si>
  <si>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</si>
  <si>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</si>
  <si>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</si>
  <si>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</si>
  <si>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</si>
  <si>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</si>
  <si>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</si>
  <si>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</si>
  <si>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</si>
  <si>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</si>
  <si>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</si>
  <si>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</si>
  <si>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</si>
  <si>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</si>
  <si>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</si>
  <si>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</si>
  <si>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</si>
  <si>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</si>
  <si>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</si>
  <si>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</si>
  <si>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</si>
  <si>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</si>
  <si>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</si>
  <si>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</si>
  <si>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</si>
  <si>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</si>
  <si>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</si>
  <si>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</si>
  <si>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</si>
  <si>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</si>
  <si>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</si>
  <si>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</si>
  <si>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</si>
  <si>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</si>
  <si>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</si>
  <si>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</si>
  <si>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</si>
  <si>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</si>
  <si>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</si>
  <si>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</si>
  <si>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</si>
  <si>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</si>
  <si>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</si>
  <si>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</si>
  <si>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</si>
  <si>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</si>
  <si>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</si>
  <si>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</si>
  <si>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</si>
  <si>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</si>
  <si>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</si>
  <si>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</si>
  <si>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</si>
  <si>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</si>
  <si>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</si>
  <si>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</si>
  <si>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</si>
  <si>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</si>
  <si>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</si>
  <si>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</si>
  <si>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</si>
  <si>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</si>
  <si>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</si>
  <si>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</si>
  <si>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</si>
  <si>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</si>
  <si>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</si>
  <si>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</si>
  <si>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</si>
  <si>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</si>
  <si>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</si>
  <si>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</si>
  <si>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</si>
  <si>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</si>
  <si>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</si>
  <si>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</si>
  <si>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</si>
  <si>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</si>
  <si>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</si>
  <si>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</si>
  <si>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</si>
  <si>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</si>
  <si>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</si>
  <si>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</si>
  <si>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</si>
  <si>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</si>
  <si>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</si>
  <si>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</si>
  <si>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</si>
  <si>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</si>
  <si>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</si>
  <si>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</si>
  <si>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</si>
  <si>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</si>
  <si>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</si>
  <si>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</si>
  <si>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</si>
  <si>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</si>
  <si>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</si>
  <si>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</si>
  <si>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</si>
  <si>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</si>
  <si>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</si>
  <si>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</si>
  <si>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</si>
  <si>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</si>
  <si>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</si>
  <si>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</si>
  <si>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</si>
  <si>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</si>
  <si>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</si>
  <si>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</si>
  <si>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</si>
  <si>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</si>
  <si>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</si>
  <si>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</si>
  <si>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</si>
  <si>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</si>
  <si>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</si>
  <si>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</si>
  <si>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</si>
  <si>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</si>
  <si>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</si>
  <si>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</si>
  <si>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</si>
  <si>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</si>
  <si>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</si>
  <si>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</si>
  <si>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</si>
  <si>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</si>
  <si>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</si>
  <si>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</si>
  <si>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</si>
  <si>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</si>
  <si>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</si>
  <si>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</si>
  <si>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</si>
  <si>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</si>
  <si>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</si>
  <si>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</si>
  <si>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</si>
  <si>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</si>
  <si>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</si>
  <si>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</si>
  <si>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</si>
  <si>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</si>
  <si>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</si>
  <si>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</si>
  <si>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</si>
  <si>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</si>
  <si>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</si>
  <si>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</si>
  <si>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</si>
  <si>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</si>
  <si>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</si>
  <si>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</si>
  <si>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</si>
  <si>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</si>
  <si>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</si>
  <si>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</si>
  <si>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</si>
  <si>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</si>
  <si>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</si>
  <si>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</si>
  <si>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</si>
  <si>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</si>
  <si>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</si>
  <si>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</si>
  <si>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</si>
  <si>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</si>
  <si>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</si>
  <si>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</si>
  <si>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</si>
  <si>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</si>
  <si>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</si>
  <si>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</si>
  <si>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</si>
  <si>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</si>
  <si>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</si>
  <si>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</si>
  <si>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</si>
  <si>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</si>
  <si>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</si>
  <si>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</si>
  <si>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</si>
  <si>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</si>
  <si>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</si>
  <si>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</si>
  <si>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</si>
  <si>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</si>
  <si>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</si>
  <si>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</si>
  <si>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</si>
  <si>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</si>
  <si>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</si>
  <si>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</si>
  <si>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</si>
  <si>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</si>
  <si>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</si>
  <si>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</si>
  <si>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</si>
  <si>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</si>
  <si>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</si>
  <si>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</si>
  <si>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</si>
  <si>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</si>
  <si>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</si>
  <si>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</si>
  <si>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</si>
  <si>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</si>
  <si>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</si>
  <si>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</si>
  <si>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</si>
  <si>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</si>
  <si>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</si>
  <si>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</si>
  <si>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</si>
  <si>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</si>
  <si>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</si>
  <si>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</si>
  <si>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</si>
  <si>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</si>
  <si>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</si>
  <si>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</si>
  <si>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</si>
  <si>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</si>
  <si>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</si>
  <si>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</si>
  <si>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</si>
  <si>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</si>
  <si>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</si>
  <si>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</si>
  <si>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</si>
  <si>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</si>
  <si>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</si>
  <si>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</si>
  <si>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</si>
  <si>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</si>
  <si>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</si>
  <si>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</si>
  <si>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</si>
  <si>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</si>
  <si>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</si>
  <si>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</si>
  <si>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</si>
  <si>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</si>
  <si>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</si>
  <si>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</si>
  <si>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</si>
  <si>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</si>
  <si>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</si>
  <si>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</si>
  <si>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</si>
  <si>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</si>
  <si>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</si>
  <si>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</si>
  <si>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</si>
  <si>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</si>
  <si>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</si>
  <si>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</si>
  <si>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</si>
  <si>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</si>
  <si>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</si>
  <si>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</si>
  <si>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</si>
  <si>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</si>
  <si>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</si>
  <si>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</si>
  <si>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</si>
  <si>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</si>
  <si>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</si>
  <si>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</si>
  <si>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</si>
  <si>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</si>
  <si>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</si>
  <si>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</si>
  <si>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</si>
  <si>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</si>
  <si>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</si>
  <si>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</si>
  <si>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</si>
  <si>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</si>
  <si>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</si>
  <si>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</si>
  <si>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</si>
  <si>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</si>
  <si>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</si>
  <si>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</si>
  <si>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</si>
  <si>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</si>
  <si>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</si>
  <si>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</si>
  <si>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</si>
  <si>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</si>
  <si>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</si>
  <si>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</si>
  <si>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</si>
  <si>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</si>
  <si>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</si>
  <si>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</si>
  <si>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</si>
  <si>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</si>
  <si>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</si>
  <si>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</si>
  <si>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</si>
  <si>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</si>
  <si>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</si>
  <si>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</si>
  <si>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</si>
  <si>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</si>
  <si>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</si>
  <si>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</si>
  <si>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</si>
  <si>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</si>
  <si>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</si>
  <si>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</si>
  <si>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</si>
  <si>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</si>
  <si>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</si>
  <si>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</si>
  <si>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</si>
  <si>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</si>
  <si>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</si>
  <si>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</si>
  <si>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</si>
  <si>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</si>
  <si>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</si>
  <si>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</si>
  <si>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</si>
  <si>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</si>
  <si>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</si>
  <si>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</si>
  <si>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</si>
  <si>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</si>
  <si>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</si>
  <si>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</si>
  <si>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</si>
  <si>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</si>
  <si>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</si>
  <si>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</si>
  <si>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</si>
  <si>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</si>
  <si>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</si>
  <si>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</si>
  <si>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</si>
  <si>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</si>
  <si>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</si>
  <si>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</si>
  <si>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</si>
  <si>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</si>
  <si>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</si>
  <si>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</si>
  <si>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</si>
  <si>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</si>
  <si>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</si>
  <si>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</si>
  <si>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</si>
  <si>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</si>
  <si>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</si>
  <si>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</si>
  <si>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</si>
  <si>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</si>
  <si>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</si>
  <si>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</si>
  <si>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</si>
  <si>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</si>
  <si>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</si>
  <si>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</si>
  <si>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</si>
  <si>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</si>
  <si>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</si>
  <si>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</si>
  <si>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</si>
  <si>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</si>
  <si>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</si>
  <si>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</si>
  <si>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</si>
  <si>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</si>
  <si>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</si>
  <si>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</si>
  <si>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</si>
  <si>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</si>
  <si>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</si>
  <si>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</si>
  <si>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</si>
  <si>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</si>
  <si>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</si>
  <si>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</si>
  <si>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</si>
  <si>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</si>
  <si>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</si>
  <si>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</si>
  <si>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</si>
  <si>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</si>
  <si>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</si>
  <si>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</si>
  <si>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</si>
  <si>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</si>
  <si>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</si>
  <si>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</si>
  <si>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</si>
  <si>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</si>
  <si>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</si>
  <si>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</si>
  <si>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</si>
  <si>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</si>
  <si>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</si>
  <si>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</si>
  <si>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</si>
  <si>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</si>
  <si>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</si>
  <si>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</si>
  <si>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</si>
  <si>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</si>
  <si>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</si>
  <si>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</si>
  <si>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</si>
  <si>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</si>
  <si>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</si>
  <si>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</si>
  <si>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</si>
  <si>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</si>
  <si>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</si>
  <si>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</si>
  <si>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</si>
  <si>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</si>
  <si>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</si>
  <si>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</si>
  <si>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</si>
  <si>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</si>
  <si>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</si>
  <si>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</si>
  <si>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</si>
  <si>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</si>
  <si>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</si>
  <si>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</si>
  <si>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</si>
  <si>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</si>
  <si>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</si>
  <si>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</si>
  <si>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</si>
  <si>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</si>
  <si>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</si>
  <si>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</si>
  <si>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</si>
  <si>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</si>
  <si>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</si>
  <si>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</si>
  <si>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</si>
  <si>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</si>
  <si>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</si>
  <si>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</si>
  <si>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</si>
  <si>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</si>
  <si>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</si>
  <si>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</si>
  <si>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</si>
  <si>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</si>
  <si>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</si>
  <si>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</si>
  <si>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</si>
  <si>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</si>
  <si>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</si>
  <si>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</si>
  <si>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</si>
  <si>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</si>
  <si>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</si>
  <si>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</si>
  <si>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</si>
  <si>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</si>
  <si>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</si>
  <si>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</si>
  <si>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</si>
  <si>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</si>
  <si>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</si>
  <si>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</si>
  <si>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</si>
  <si>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</si>
  <si>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</si>
  <si>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</si>
  <si>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</si>
  <si>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</si>
  <si>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</si>
  <si>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</si>
  <si>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</si>
  <si>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</si>
  <si>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</si>
  <si>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</si>
  <si>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</si>
  <si>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</si>
  <si>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</si>
  <si>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</si>
  <si>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</si>
  <si>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</si>
  <si>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</si>
  <si>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</si>
  <si>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</si>
  <si>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</si>
  <si>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</si>
  <si>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</si>
  <si>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</si>
  <si>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</si>
  <si>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</si>
  <si>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</si>
  <si>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</si>
  <si>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</si>
  <si>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</si>
  <si>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</si>
  <si>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</si>
  <si>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</si>
  <si>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</si>
  <si>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</si>
  <si>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</si>
  <si>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</si>
  <si>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</si>
  <si>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</si>
  <si>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</si>
  <si>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</si>
  <si>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</si>
  <si>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</si>
  <si>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</si>
  <si>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</si>
  <si>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</si>
  <si>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</si>
  <si>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</si>
  <si>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</si>
  <si>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</si>
  <si>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</si>
  <si>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</si>
  <si>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</si>
  <si>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</si>
  <si>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</si>
  <si>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</si>
  <si>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</si>
  <si>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</si>
  <si>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</si>
  <si>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</si>
  <si>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</si>
  <si>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</si>
  <si>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</si>
  <si>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</si>
  <si>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</si>
  <si>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</si>
  <si>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</si>
  <si>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</si>
  <si>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</si>
  <si>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</si>
  <si>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</si>
  <si>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</si>
  <si>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</si>
  <si>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</si>
  <si>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</si>
  <si>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</si>
  <si>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</si>
  <si>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</si>
  <si>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</si>
  <si>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</si>
  <si>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</si>
  <si>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</si>
  <si>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</si>
  <si>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</si>
  <si>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</si>
  <si>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</si>
  <si>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</si>
  <si>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</si>
  <si>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</si>
  <si>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</si>
  <si>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</si>
  <si>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</si>
  <si>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</si>
  <si>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</si>
  <si>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</si>
  <si>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</si>
  <si>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</si>
  <si>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</si>
  <si>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</si>
  <si>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</si>
  <si>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</si>
  <si>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</si>
  <si>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</si>
  <si>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</si>
  <si>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</si>
  <si>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</si>
  <si>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</si>
  <si>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</si>
  <si>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</si>
  <si>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</si>
  <si>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</si>
  <si>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</si>
  <si>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</si>
  <si>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</si>
  <si>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</si>
  <si>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</si>
  <si>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</si>
  <si>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</si>
  <si>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</si>
  <si>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</si>
  <si>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</si>
  <si>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</si>
  <si>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</si>
  <si>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</si>
  <si>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</si>
  <si>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</si>
  <si>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</si>
  <si>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</si>
  <si>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</si>
  <si>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</si>
  <si>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</si>
  <si>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</si>
  <si>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</si>
  <si>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</si>
  <si>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</si>
  <si>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</si>
  <si>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</si>
  <si>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</si>
  <si>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</si>
  <si>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</si>
  <si>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</si>
  <si>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</si>
  <si>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</si>
  <si>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</si>
  <si>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</si>
  <si>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</si>
  <si>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</si>
  <si>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</si>
  <si>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</si>
  <si>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</si>
  <si>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</si>
  <si>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</si>
  <si>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</si>
  <si>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</si>
  <si>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</si>
  <si>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</si>
  <si>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</si>
  <si>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</si>
  <si>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</si>
  <si>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</si>
  <si>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</si>
  <si>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</si>
  <si>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</si>
  <si>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</si>
  <si>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</si>
  <si>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</si>
  <si>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</si>
  <si>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</si>
  <si>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</si>
  <si>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</si>
  <si>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</si>
  <si>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</si>
  <si>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</si>
  <si>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</si>
  <si>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</si>
  <si>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</si>
  <si>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</si>
  <si>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</si>
  <si>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</si>
  <si>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</si>
  <si>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</si>
  <si>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</si>
  <si>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</si>
  <si>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</si>
  <si>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</si>
  <si>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</si>
  <si>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</si>
  <si>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</si>
  <si>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</si>
  <si>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</si>
  <si>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</si>
  <si>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</si>
  <si>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</si>
  <si>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</si>
  <si>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</si>
  <si>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</si>
  <si>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</si>
  <si>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</si>
  <si>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</si>
  <si>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</si>
  <si>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</si>
  <si>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</si>
  <si>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</si>
  <si>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</si>
  <si>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</si>
  <si>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</si>
  <si>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</si>
  <si>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</si>
  <si>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</si>
  <si>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</si>
  <si>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</si>
  <si>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</si>
  <si>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</si>
  <si>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</si>
  <si>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</si>
  <si>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</si>
  <si>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</si>
  <si>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</si>
  <si>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</si>
  <si>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</si>
  <si>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</si>
  <si>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</si>
  <si>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</si>
  <si>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</si>
  <si>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</si>
  <si>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</si>
  <si>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</si>
  <si>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</si>
  <si>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</si>
  <si>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</si>
  <si>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</si>
  <si>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</si>
  <si>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</si>
  <si>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</si>
  <si>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</si>
  <si>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</si>
  <si>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</si>
  <si>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</si>
  <si>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</si>
  <si>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</si>
  <si>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</si>
  <si>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</si>
  <si>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</si>
  <si>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</si>
  <si>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</si>
  <si>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</si>
  <si>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</si>
  <si>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</si>
  <si>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</si>
  <si>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</si>
  <si>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</si>
  <si>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</si>
  <si>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</si>
  <si>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</si>
  <si>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</si>
  <si>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</si>
  <si>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</si>
  <si>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</si>
  <si>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</si>
  <si>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</si>
  <si>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</si>
  <si>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</si>
  <si>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</si>
  <si>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</si>
  <si>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</si>
  <si>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</si>
  <si>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</si>
  <si>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</si>
  <si>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</si>
  <si>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</si>
  <si>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</si>
  <si>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</si>
  <si>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</si>
  <si>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</si>
  <si>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</si>
  <si>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</si>
  <si>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</si>
  <si>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</si>
  <si>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</si>
  <si>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</si>
  <si>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</si>
  <si>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</si>
  <si>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</si>
  <si>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</si>
  <si>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</si>
  <si>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</si>
  <si>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</si>
  <si>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</si>
  <si>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</si>
  <si>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</si>
  <si>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</si>
  <si>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</si>
  <si>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</si>
  <si>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</si>
  <si>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</si>
  <si>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</si>
  <si>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</si>
  <si>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</si>
  <si>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</si>
  <si>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</si>
  <si>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</si>
  <si>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</si>
  <si>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</si>
  <si>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</si>
  <si>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</si>
  <si>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</si>
  <si>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</si>
  <si>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</si>
  <si>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</si>
  <si>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</si>
  <si>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</si>
  <si>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</si>
  <si>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</si>
  <si>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</si>
  <si>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</si>
  <si>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</si>
  <si>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</si>
  <si>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</si>
  <si>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</si>
  <si>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</si>
  <si>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</si>
  <si>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</si>
  <si>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</si>
  <si>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</si>
  <si>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</si>
  <si>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</si>
  <si>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</si>
  <si>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</si>
  <si>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</si>
  <si>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</si>
  <si>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</si>
  <si>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</si>
  <si>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</si>
  <si>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</si>
  <si>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</si>
  <si>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</si>
  <si>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</si>
  <si>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</si>
  <si>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</si>
  <si>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</si>
  <si>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</si>
  <si>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</si>
  <si>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</si>
  <si>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</si>
  <si>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</si>
  <si>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</si>
  <si>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</si>
  <si>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</si>
  <si>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</si>
  <si>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</si>
  <si>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</si>
  <si>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</si>
  <si>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</si>
  <si>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</si>
  <si>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</si>
  <si>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</si>
  <si>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</si>
  <si>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</si>
  <si>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</si>
  <si>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</si>
  <si>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</si>
  <si>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</si>
  <si>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</si>
  <si>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</si>
  <si>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</si>
  <si>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</si>
  <si>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</si>
  <si>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</si>
  <si>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</si>
  <si>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</si>
  <si>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</si>
  <si>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</si>
  <si>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</si>
  <si>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</si>
  <si>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</si>
  <si>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</si>
  <si>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</si>
  <si>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</si>
  <si>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</si>
  <si>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</si>
  <si>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</si>
  <si>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</si>
  <si>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</si>
  <si>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</si>
  <si>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</si>
  <si>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</si>
  <si>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</si>
  <si>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</si>
  <si>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</si>
  <si>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</si>
  <si>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</si>
  <si>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</si>
  <si>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</si>
  <si>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</si>
  <si>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</si>
  <si>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</si>
  <si>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</si>
  <si>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</si>
  <si>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</si>
  <si>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</si>
  <si>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</si>
  <si>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</si>
  <si>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</si>
  <si>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</si>
  <si>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</si>
  <si>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</si>
  <si>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</si>
  <si>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</si>
  <si>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</si>
  <si>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</si>
  <si>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</si>
  <si>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</si>
  <si>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</si>
  <si>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</si>
  <si>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</si>
  <si>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</si>
  <si>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</si>
  <si>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</si>
  <si>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</si>
  <si>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</si>
  <si>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</si>
  <si>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</si>
  <si>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</si>
  <si>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</si>
  <si>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</si>
  <si>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</si>
  <si>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</si>
  <si>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</si>
  <si>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</si>
  <si>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</si>
  <si>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</si>
  <si>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</si>
  <si>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</si>
  <si>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</si>
  <si>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</si>
  <si>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</si>
  <si>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</si>
  <si>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</si>
  <si>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</si>
  <si>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</si>
  <si>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</si>
  <si>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</si>
  <si>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</si>
  <si>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</si>
  <si>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</si>
  <si>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</si>
  <si>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</si>
  <si>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</si>
  <si>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</si>
  <si>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</si>
  <si>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</si>
  <si>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</si>
  <si>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</si>
  <si>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</si>
  <si>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</si>
  <si>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</si>
  <si>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</si>
  <si>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</si>
  <si>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</si>
  <si>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</si>
  <si>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</si>
  <si>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</si>
  <si>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</si>
  <si>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</si>
  <si>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</si>
  <si>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</si>
  <si>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</si>
  <si>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</si>
  <si>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</si>
  <si>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</si>
  <si>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</si>
  <si>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</si>
  <si>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</si>
  <si>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</si>
  <si>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</si>
  <si>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</si>
  <si>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</si>
  <si>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</si>
  <si>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</si>
  <si>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</si>
  <si>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</si>
  <si>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</si>
  <si>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</si>
  <si>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</si>
  <si>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</si>
  <si>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</si>
  <si>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</si>
  <si>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</si>
  <si>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</si>
  <si>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</si>
  <si>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</si>
  <si>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</si>
  <si>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</si>
  <si>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</si>
  <si>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</si>
  <si>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</si>
  <si>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</si>
  <si>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</si>
  <si>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</si>
  <si>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</si>
  <si>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</si>
  <si>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</si>
  <si>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</si>
  <si>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</si>
  <si>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</si>
  <si>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</si>
  <si>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</si>
  <si>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</si>
  <si>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</si>
  <si>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</si>
  <si>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</si>
  <si>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</si>
  <si>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</si>
  <si>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</si>
  <si>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</si>
  <si>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</si>
  <si>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</si>
  <si>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</si>
  <si>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</si>
  <si>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</si>
  <si>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</si>
  <si>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</si>
  <si>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</si>
  <si>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</si>
  <si>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</si>
  <si>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</si>
  <si>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</si>
  <si>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</si>
  <si>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</si>
  <si>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</si>
  <si>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</si>
  <si>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</si>
  <si>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</si>
  <si>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</si>
  <si>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</si>
  <si>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</si>
  <si>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</si>
  <si>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</si>
  <si>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</si>
  <si>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</si>
  <si>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</si>
  <si>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</si>
  <si>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</si>
  <si>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</si>
  <si>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</si>
  <si>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</si>
  <si>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</si>
  <si>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</si>
  <si>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</si>
  <si>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</si>
  <si>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</si>
  <si>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</si>
  <si>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</si>
  <si>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</si>
  <si>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</si>
  <si>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</si>
  <si>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</si>
  <si>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</si>
  <si>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</si>
  <si>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</si>
  <si>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</si>
  <si>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</si>
  <si>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</si>
  <si>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</si>
  <si>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</si>
  <si>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</si>
  <si>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</si>
  <si>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</si>
  <si>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</si>
  <si>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</si>
  <si>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</si>
  <si>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</si>
  <si>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</si>
  <si>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</si>
  <si>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</si>
  <si>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</si>
  <si>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</si>
  <si>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</si>
  <si>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</si>
  <si>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</si>
  <si>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</si>
  <si>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</si>
  <si>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</si>
  <si>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</si>
  <si>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</si>
  <si>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</si>
  <si>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</si>
  <si>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</si>
  <si>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</si>
  <si>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</si>
  <si>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</si>
  <si>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</si>
  <si>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</si>
  <si>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</si>
  <si>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</si>
  <si>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</si>
  <si>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</si>
  <si>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</si>
  <si>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</si>
  <si>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</si>
  <si>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</si>
  <si>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</si>
  <si>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</si>
  <si>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</si>
  <si>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</si>
  <si>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</si>
  <si>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</si>
  <si>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</si>
  <si>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</si>
  <si>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</si>
  <si>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</si>
  <si>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</si>
  <si>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</si>
  <si>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</si>
  <si>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</si>
  <si>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</si>
  <si>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</si>
  <si>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</si>
  <si>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</si>
  <si>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</si>
  <si>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</si>
  <si>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</si>
  <si>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</si>
  <si>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</si>
  <si>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</si>
  <si>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</si>
  <si>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</si>
  <si>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</si>
  <si>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</si>
  <si>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</si>
  <si>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</si>
  <si>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</si>
  <si>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</si>
  <si>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</si>
  <si>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</si>
  <si>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</si>
  <si>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</si>
  <si>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</si>
  <si>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</si>
  <si>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</si>
  <si>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</si>
  <si>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</si>
  <si>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</si>
  <si>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</si>
  <si>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</si>
  <si>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</si>
  <si>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</si>
  <si>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</si>
  <si>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</si>
  <si>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</si>
  <si>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</si>
  <si>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</si>
  <si>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</si>
  <si>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</si>
  <si>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</si>
  <si>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</si>
  <si>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</si>
  <si>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</si>
  <si>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</si>
  <si>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</si>
  <si>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</si>
  <si>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</si>
  <si>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</si>
  <si>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</si>
  <si>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</si>
  <si>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</si>
  <si>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</si>
  <si>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</si>
  <si>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</si>
  <si>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</si>
  <si>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</si>
  <si>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</si>
  <si>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</si>
  <si>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</si>
  <si>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</si>
  <si>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</si>
  <si>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</si>
  <si>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</si>
  <si>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</si>
  <si>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</si>
  <si>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</si>
  <si>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</si>
  <si>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</si>
  <si>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</si>
  <si>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</si>
  <si>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</si>
  <si>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</si>
  <si>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</si>
  <si>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</si>
  <si>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</si>
  <si>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</si>
  <si>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</si>
  <si>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</si>
  <si>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</si>
  <si>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</si>
  <si>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</si>
  <si>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</si>
  <si>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</si>
  <si>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</si>
  <si>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</si>
  <si>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</si>
  <si>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</si>
  <si>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</si>
  <si>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</si>
  <si>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</si>
  <si>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</si>
  <si>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</si>
  <si>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</si>
  <si>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</si>
  <si>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</si>
  <si>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</si>
  <si>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</si>
  <si>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</si>
  <si>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</si>
  <si>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</si>
  <si>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</si>
  <si>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</si>
  <si>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</si>
  <si>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</si>
  <si>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</si>
  <si>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</si>
  <si>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</si>
  <si>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</si>
  <si>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</si>
  <si>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</si>
  <si>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</si>
  <si>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</si>
  <si>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</si>
  <si>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</si>
  <si>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</si>
  <si>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</si>
  <si>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</si>
  <si>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</si>
  <si>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</si>
  <si>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</si>
  <si>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</si>
  <si>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</si>
  <si>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</si>
  <si>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</si>
  <si>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</si>
  <si>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</si>
  <si>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</si>
  <si>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</si>
  <si>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</si>
  <si>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</si>
  <si>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</si>
  <si>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</si>
  <si>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</si>
  <si>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</si>
  <si>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</si>
  <si>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</si>
  <si>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</si>
  <si>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</si>
  <si>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</si>
  <si>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</si>
  <si>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</si>
  <si>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</si>
  <si>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</si>
  <si>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</si>
  <si>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</si>
  <si>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</si>
  <si>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</si>
  <si>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</si>
  <si>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</si>
  <si>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</si>
  <si>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</si>
  <si>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</si>
  <si>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</si>
  <si>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</si>
  <si>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</si>
  <si>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</si>
  <si>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</si>
  <si>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</si>
  <si>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</si>
  <si>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</si>
  <si>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</si>
  <si>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</si>
  <si>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</si>
  <si>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</si>
  <si>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</si>
  <si>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</si>
  <si>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</si>
  <si>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</si>
  <si>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</si>
  <si>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</si>
  <si>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</si>
  <si>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</si>
  <si>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</si>
  <si>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</si>
  <si>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</si>
  <si>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</si>
  <si>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</si>
  <si>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</si>
  <si>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</si>
  <si>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</si>
  <si>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</si>
  <si>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</si>
  <si>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</si>
  <si>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</si>
  <si>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</si>
  <si>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</si>
  <si>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</si>
  <si>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</si>
  <si>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</si>
  <si>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</si>
  <si>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</si>
  <si>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</si>
  <si>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</si>
  <si>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</si>
  <si>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</si>
  <si>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</si>
  <si>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</si>
  <si>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</si>
  <si>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</si>
  <si>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</si>
  <si>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</si>
  <si>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</si>
  <si>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</si>
  <si>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</si>
  <si>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</si>
  <si>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</si>
  <si>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</si>
  <si>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</si>
  <si>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</si>
  <si>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</si>
  <si>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</si>
  <si>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</si>
  <si>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</si>
  <si>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</si>
  <si>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</si>
  <si>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</si>
  <si>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</si>
  <si>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</si>
  <si>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</si>
  <si>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</si>
  <si>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</si>
  <si>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</si>
  <si>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</si>
  <si>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</si>
  <si>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</si>
  <si>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</si>
  <si>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</si>
  <si>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</si>
  <si>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</si>
  <si>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</si>
  <si>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</si>
  <si>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</si>
  <si>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</si>
  <si>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</si>
  <si>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</si>
  <si>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</si>
  <si>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</si>
  <si>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</si>
  <si>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</si>
  <si>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</si>
  <si>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</si>
  <si>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</si>
  <si>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</si>
  <si>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</si>
  <si>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</si>
  <si>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</si>
  <si>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</si>
  <si>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</si>
  <si>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</si>
  <si>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</si>
  <si>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</si>
  <si>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</si>
  <si>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</si>
  <si>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</si>
  <si>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</si>
  <si>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</si>
  <si>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</si>
  <si>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</si>
  <si>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</si>
  <si>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</si>
  <si>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</si>
  <si>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</si>
  <si>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</si>
  <si>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</si>
  <si>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</si>
  <si>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</si>
  <si>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</si>
  <si>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</si>
  <si>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</si>
  <si>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</si>
  <si>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</si>
  <si>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</si>
  <si>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</si>
  <si>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</si>
  <si>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</si>
  <si>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</si>
  <si>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</si>
  <si>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</si>
  <si>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</si>
  <si>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</si>
  <si>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</si>
  <si>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</si>
  <si>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</si>
  <si>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</si>
  <si>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</si>
  <si>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</si>
  <si>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</si>
  <si>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</si>
  <si>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</si>
  <si>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</si>
  <si>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</si>
  <si>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</si>
  <si>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</si>
  <si>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</si>
  <si>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</si>
  <si>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</si>
  <si>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</si>
  <si>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</si>
  <si>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</si>
  <si>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</si>
  <si>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</si>
  <si>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</si>
  <si>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</si>
  <si>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</si>
  <si>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</si>
  <si>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</si>
  <si>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</si>
  <si>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</si>
  <si>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</si>
  <si>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</si>
  <si>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</si>
  <si>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</si>
  <si>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</si>
  <si>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</si>
  <si>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</si>
  <si>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</si>
  <si>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</si>
  <si>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</si>
  <si>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</si>
  <si>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</si>
  <si>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</si>
  <si>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</si>
  <si>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</si>
  <si>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</si>
  <si>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</si>
  <si>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</si>
  <si>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</si>
  <si>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</si>
  <si>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</si>
  <si>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</si>
  <si>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</si>
  <si>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</si>
  <si>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</si>
  <si>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</si>
  <si>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</si>
  <si>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</si>
  <si>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</si>
  <si>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</si>
  <si>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</si>
  <si>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</si>
  <si>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</si>
  <si>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</si>
  <si>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</si>
  <si>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</si>
  <si>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</si>
  <si>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</si>
  <si>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</si>
  <si>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</si>
  <si>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</si>
  <si>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</si>
  <si>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</si>
  <si>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</si>
  <si>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</si>
  <si>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</si>
  <si>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</si>
  <si>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</si>
  <si>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</si>
  <si>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</si>
  <si>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</si>
  <si>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</si>
  <si>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</si>
  <si>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</si>
  <si>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</si>
  <si>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</si>
  <si>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</si>
  <si>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</si>
  <si>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</si>
  <si>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</si>
  <si>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</si>
  <si>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</si>
  <si>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</si>
  <si>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</si>
  <si>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</si>
  <si>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</si>
  <si>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</si>
  <si>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</si>
  <si>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</si>
  <si>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</si>
  <si>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</si>
  <si>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</si>
  <si>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</si>
  <si>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</si>
  <si>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</si>
  <si>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</si>
  <si>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</si>
  <si>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</si>
  <si>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</si>
  <si>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</si>
  <si>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</si>
  <si>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</si>
  <si>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</si>
  <si>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</si>
  <si>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</si>
  <si>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</si>
  <si>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</si>
  <si>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</si>
  <si>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</si>
  <si>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</si>
  <si>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</si>
  <si>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</si>
  <si>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</si>
  <si>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</si>
  <si>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</si>
  <si>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</si>
  <si>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</si>
  <si>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</si>
  <si>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</si>
  <si>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</si>
  <si>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</si>
  <si>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</si>
  <si>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</si>
  <si>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</si>
  <si>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</si>
  <si>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</si>
  <si>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</si>
  <si>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</si>
  <si>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</si>
  <si>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</si>
  <si>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</si>
  <si>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</si>
  <si>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</si>
  <si>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</si>
  <si>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</si>
  <si>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</si>
  <si>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</si>
  <si>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</si>
  <si>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</si>
  <si>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</si>
  <si>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</si>
  <si>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</si>
  <si>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</si>
  <si>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</si>
  <si>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</si>
  <si>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</si>
  <si>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</si>
  <si>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</si>
  <si>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</si>
  <si>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</si>
  <si>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</si>
  <si>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</si>
  <si>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</si>
  <si>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</si>
  <si>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</si>
  <si>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</si>
  <si>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</si>
  <si>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</si>
  <si>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</si>
  <si>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</si>
  <si>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</si>
  <si>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</si>
  <si>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</si>
  <si>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</si>
  <si>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</si>
  <si>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</si>
  <si>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</si>
  <si>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</si>
  <si>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</si>
  <si>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</si>
  <si>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</si>
  <si>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</si>
  <si>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</si>
  <si>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</si>
  <si>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</si>
  <si>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</si>
  <si>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</si>
  <si>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</si>
  <si>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</si>
  <si>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</si>
  <si>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</si>
  <si>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</si>
  <si>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</si>
  <si>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</si>
  <si>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</si>
  <si>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</si>
  <si>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</si>
  <si>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</si>
  <si>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</si>
  <si>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</si>
  <si>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</si>
  <si>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</si>
  <si>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</si>
  <si>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</si>
  <si>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</si>
  <si>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</si>
  <si>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</si>
  <si>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</si>
  <si>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</si>
  <si>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</si>
  <si>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</si>
  <si>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</si>
  <si>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</si>
  <si>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</si>
  <si>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</si>
  <si>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</si>
  <si>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</si>
  <si>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</si>
  <si>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</si>
  <si>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</si>
  <si>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</si>
  <si>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</si>
  <si>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</si>
  <si>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</si>
  <si>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</si>
  <si>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</si>
  <si>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</si>
  <si>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</si>
  <si>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</si>
  <si>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</si>
  <si>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</si>
  <si>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</si>
  <si>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</si>
  <si>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</si>
  <si>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</si>
  <si>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</si>
  <si>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</si>
  <si>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</si>
  <si>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</si>
  <si>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</si>
  <si>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</si>
  <si>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</si>
  <si>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</si>
  <si>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</si>
  <si>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</si>
  <si>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</si>
  <si>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</si>
  <si>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</si>
  <si>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</si>
  <si>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</si>
  <si>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</si>
  <si>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</si>
  <si>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</si>
  <si>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</si>
  <si>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</si>
  <si>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</si>
  <si>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</si>
  <si>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</si>
  <si>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</si>
  <si>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</si>
  <si>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</si>
  <si>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</si>
  <si>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</si>
  <si>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</si>
  <si>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</si>
  <si>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</si>
  <si>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</si>
  <si>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</si>
  <si>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</si>
  <si>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</si>
  <si>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</si>
  <si>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</si>
  <si>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</si>
  <si>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</si>
  <si>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</si>
  <si>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</si>
  <si>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</si>
  <si>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</si>
  <si>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</si>
  <si>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</si>
  <si>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</si>
  <si>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</si>
  <si>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</si>
  <si>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</si>
  <si>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</si>
  <si>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</si>
  <si>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</si>
  <si>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</si>
  <si>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</si>
  <si>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</si>
  <si>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</si>
  <si>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</si>
  <si>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</si>
  <si>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</si>
  <si>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</si>
  <si>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</si>
  <si>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</si>
  <si>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</si>
  <si>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</si>
  <si>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</si>
  <si>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</si>
  <si>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</si>
  <si>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</si>
  <si>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</si>
  <si>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</si>
  <si>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</si>
  <si>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</si>
  <si>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</si>
  <si>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</si>
  <si>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</si>
  <si>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</si>
  <si>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</si>
  <si>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</si>
  <si>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</si>
  <si>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</si>
  <si>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</si>
  <si>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</si>
  <si>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</si>
  <si>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</si>
  <si>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</si>
  <si>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</si>
  <si>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</si>
  <si>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</si>
  <si>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</si>
  <si>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</si>
  <si>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</si>
  <si>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</si>
  <si>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</si>
  <si>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</si>
  <si>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</si>
  <si>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</si>
  <si>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</si>
  <si>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</si>
  <si>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</si>
  <si>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</si>
  <si>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</si>
  <si>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</si>
  <si>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</si>
  <si>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</si>
  <si>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</si>
  <si>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</si>
  <si>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</si>
  <si>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</si>
  <si>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</si>
  <si>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</si>
  <si>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</si>
  <si>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</si>
  <si>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</si>
  <si>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</si>
  <si>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</si>
  <si>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</si>
  <si>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</si>
  <si>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</si>
  <si>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</si>
  <si>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</si>
  <si>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</si>
  <si>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</si>
  <si>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</si>
  <si>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</si>
  <si>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</si>
  <si>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</si>
  <si>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</si>
  <si>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</si>
  <si>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</si>
  <si>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</si>
  <si>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</si>
  <si>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</si>
  <si>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</si>
  <si>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</si>
  <si>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</si>
  <si>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</si>
  <si>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</si>
  <si>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</si>
  <si>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</si>
  <si>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</si>
  <si>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</si>
  <si>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</si>
  <si>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</si>
  <si>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</si>
  <si>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</si>
  <si>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</si>
  <si>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</si>
  <si>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</si>
  <si>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</si>
  <si>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</si>
  <si>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</si>
  <si>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</si>
  <si>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</si>
  <si>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</si>
  <si>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</si>
  <si>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</si>
  <si>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</si>
  <si>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</si>
  <si>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</si>
  <si>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</si>
  <si>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</si>
  <si>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</si>
  <si>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</si>
  <si>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</si>
  <si>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</si>
  <si>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</si>
  <si>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</si>
  <si>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</si>
  <si>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</si>
  <si>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</si>
  <si>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</si>
  <si>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</si>
  <si>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</si>
  <si>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</si>
  <si>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</si>
  <si>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</si>
  <si>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</si>
  <si>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</si>
  <si>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</si>
  <si>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</si>
  <si>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</si>
  <si>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</si>
  <si>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</si>
  <si>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</si>
  <si>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</si>
  <si>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</si>
  <si>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</si>
  <si>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</si>
  <si>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</si>
  <si>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</si>
  <si>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</si>
  <si>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</si>
  <si>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</si>
  <si>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</si>
  <si>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</si>
  <si>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</si>
  <si>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</si>
  <si>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</si>
  <si>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</si>
  <si>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</si>
  <si>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</si>
  <si>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</si>
  <si>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</si>
  <si>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</si>
  <si>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</si>
  <si>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</si>
  <si>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</si>
  <si>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</si>
  <si>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</si>
  <si>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</si>
  <si>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</si>
  <si>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</si>
  <si>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</si>
  <si>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</si>
  <si>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</si>
  <si>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</si>
  <si>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</si>
  <si>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</si>
  <si>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</si>
  <si>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</si>
  <si>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</si>
  <si>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</si>
  <si>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</si>
  <si>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</si>
  <si>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</si>
  <si>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</si>
  <si>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</si>
  <si>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</si>
  <si>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</si>
  <si>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</si>
  <si>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</si>
  <si>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</si>
  <si>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</si>
  <si>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</si>
  <si>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</si>
  <si>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</si>
  <si>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</si>
  <si>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</si>
  <si>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</si>
  <si>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</si>
  <si>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</si>
  <si>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</si>
  <si>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</si>
  <si>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</si>
  <si>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</si>
  <si>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</si>
  <si>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</si>
  <si>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</si>
  <si>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</si>
  <si>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</si>
  <si>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</si>
  <si>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</si>
  <si>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</si>
  <si>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</si>
  <si>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</si>
  <si>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</si>
  <si>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</si>
  <si>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</si>
  <si>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</si>
  <si>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</si>
  <si>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</si>
  <si>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</si>
  <si>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</si>
  <si>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</si>
  <si>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</si>
  <si>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</si>
  <si>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</si>
  <si>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</si>
  <si>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</si>
  <si>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</si>
  <si>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</si>
  <si>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</si>
  <si>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</si>
  <si>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</si>
  <si>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</si>
  <si>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</si>
  <si>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</si>
  <si>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</si>
  <si>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</si>
  <si>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</si>
  <si>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</si>
  <si>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</si>
  <si>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</si>
  <si>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</si>
  <si>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</si>
  <si>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</si>
  <si>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</si>
  <si>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</si>
  <si>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</si>
  <si>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</si>
  <si>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</si>
  <si>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</si>
  <si>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</si>
  <si>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</si>
  <si>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</si>
  <si>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</si>
  <si>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</si>
  <si>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</si>
  <si>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</si>
  <si>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</si>
  <si>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</si>
  <si>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</si>
  <si>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</si>
  <si>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</si>
  <si>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</si>
  <si>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</si>
  <si>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</si>
  <si>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</si>
  <si>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</si>
  <si>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</si>
  <si>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</si>
  <si>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</si>
  <si>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</si>
  <si>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</si>
  <si>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</si>
  <si>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</si>
  <si>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</si>
  <si>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</si>
  <si>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</si>
  <si>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</si>
  <si>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</si>
  <si>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</si>
  <si>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</si>
  <si>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</si>
  <si>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</si>
  <si>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</si>
  <si>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</si>
  <si>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</si>
  <si>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</si>
  <si>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</si>
  <si>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</si>
  <si>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</si>
  <si>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</si>
  <si>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</si>
  <si>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</si>
  <si>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</si>
  <si>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</si>
  <si>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</si>
  <si>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</si>
  <si>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</si>
  <si>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</si>
  <si>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</si>
  <si>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</si>
  <si>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</si>
  <si>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</si>
  <si>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</si>
  <si>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</si>
  <si>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</si>
  <si>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</si>
  <si>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</si>
  <si>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</si>
  <si>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</si>
  <si>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</si>
  <si>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</si>
  <si>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</si>
  <si>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</si>
  <si>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</si>
  <si>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</si>
  <si>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</si>
  <si>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</si>
  <si>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</si>
  <si>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</si>
  <si>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</si>
  <si>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</si>
  <si>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</si>
  <si>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</si>
  <si>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</si>
  <si>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</si>
  <si>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</si>
  <si>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</si>
  <si>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</si>
  <si>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</si>
  <si>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</si>
  <si>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</si>
  <si>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</si>
  <si>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</si>
  <si>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</si>
  <si>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</si>
  <si>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</si>
  <si>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</si>
  <si>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</si>
  <si>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</si>
  <si>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</si>
  <si>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</si>
  <si>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</si>
  <si>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</si>
  <si>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</si>
  <si>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</si>
  <si>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</si>
  <si>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</si>
  <si>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</si>
  <si>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</si>
  <si>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</si>
  <si>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</si>
  <si>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</si>
  <si>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</si>
  <si>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</si>
  <si>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</si>
  <si>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</si>
  <si>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</si>
  <si>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</si>
  <si>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</si>
  <si>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</si>
  <si>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</si>
  <si>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</si>
  <si>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</si>
  <si>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</si>
  <si>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</si>
  <si>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</si>
  <si>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</si>
  <si>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</si>
  <si>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</si>
  <si>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</si>
  <si>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</si>
  <si>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</si>
  <si>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</si>
  <si>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</si>
  <si>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</si>
  <si>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</si>
  <si>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</si>
  <si>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</si>
  <si>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</si>
  <si>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</si>
  <si>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</si>
  <si>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</si>
  <si>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</si>
  <si>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</si>
  <si>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</si>
  <si>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</si>
  <si>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</si>
  <si>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</si>
  <si>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</si>
  <si>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</si>
  <si>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</si>
  <si>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</si>
  <si>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</si>
  <si>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</si>
  <si>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</si>
  <si>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</si>
  <si>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</si>
  <si>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</si>
  <si>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</si>
  <si>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</si>
  <si>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</si>
  <si>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</si>
  <si>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</si>
  <si>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</si>
  <si>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</si>
  <si>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</si>
  <si>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</si>
  <si>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</si>
  <si>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</si>
  <si>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</si>
  <si>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</si>
  <si>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</si>
  <si>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</si>
  <si>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</si>
  <si>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</si>
  <si>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</si>
  <si>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</si>
  <si>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</si>
  <si>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</si>
  <si>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</si>
  <si>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</si>
  <si>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</si>
  <si>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</si>
  <si>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</si>
  <si>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</si>
  <si>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</si>
  <si>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</si>
  <si>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</si>
  <si>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</si>
  <si>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</si>
  <si>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</si>
  <si>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</si>
  <si>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</si>
  <si>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</si>
  <si>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</si>
  <si>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</si>
  <si>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</si>
  <si>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</si>
  <si>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</si>
  <si>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</si>
  <si>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</si>
  <si>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</si>
  <si>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</si>
  <si>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</si>
  <si>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</si>
  <si>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</si>
  <si>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</si>
  <si>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</si>
  <si>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</si>
  <si>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</si>
  <si>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</si>
  <si>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</si>
  <si>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</si>
  <si>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</si>
  <si>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</si>
  <si>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</si>
  <si>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</si>
  <si>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</si>
  <si>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</si>
  <si>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</si>
  <si>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</si>
  <si>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</si>
  <si>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</si>
  <si>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</si>
  <si>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</si>
  <si>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</si>
  <si>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</si>
  <si>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</si>
  <si>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</si>
  <si>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</si>
  <si>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</si>
  <si>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</si>
  <si>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</si>
  <si>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</si>
  <si>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</si>
  <si>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</si>
  <si>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</si>
  <si>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</si>
  <si>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</si>
  <si>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</si>
  <si>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</si>
  <si>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</si>
  <si>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</si>
  <si>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</si>
  <si>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</si>
  <si>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</si>
  <si>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</si>
  <si>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</si>
  <si>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</si>
  <si>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</si>
  <si>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</si>
  <si>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</si>
  <si>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</si>
  <si>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</si>
  <si>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</si>
  <si>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</si>
  <si>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</si>
  <si>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</si>
  <si>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</si>
  <si>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</si>
  <si>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</si>
  <si>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</si>
  <si>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</si>
  <si>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</si>
  <si>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</si>
  <si>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</si>
  <si>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</si>
  <si>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</si>
  <si>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</si>
  <si>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</si>
  <si>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</si>
  <si>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</si>
  <si>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</si>
  <si>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</si>
  <si>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</si>
  <si>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</si>
  <si>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</si>
  <si>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</si>
  <si>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</si>
  <si>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</si>
  <si>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</si>
  <si>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</si>
  <si>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</si>
  <si>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</si>
  <si>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</si>
  <si>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</si>
  <si>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</si>
  <si>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</si>
  <si>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</si>
  <si>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</si>
  <si>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</si>
  <si>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</si>
  <si>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</si>
  <si>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</si>
  <si>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</si>
  <si>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</si>
  <si>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</si>
  <si>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</si>
  <si>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</si>
  <si>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</si>
  <si>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</si>
  <si>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</si>
  <si>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</si>
  <si>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</si>
  <si>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</si>
  <si>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</si>
  <si>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</si>
  <si>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</si>
  <si>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</si>
  <si>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</si>
  <si>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</si>
  <si>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</si>
  <si>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</si>
  <si>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</si>
  <si>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</si>
  <si>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</si>
  <si>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</si>
  <si>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</si>
  <si>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</si>
  <si>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</si>
  <si>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</si>
  <si>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</si>
  <si>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</si>
  <si>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</si>
  <si>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</si>
  <si>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</si>
  <si>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</si>
  <si>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</si>
  <si>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</si>
  <si>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</si>
  <si>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</si>
  <si>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</si>
  <si>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</si>
  <si>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</si>
  <si>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</si>
  <si>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</si>
  <si>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</si>
  <si>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</si>
  <si>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</si>
  <si>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</si>
  <si>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</si>
  <si>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</si>
  <si>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</si>
  <si>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</si>
  <si>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</si>
  <si>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</si>
  <si>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</si>
  <si>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</si>
  <si>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</si>
  <si>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</si>
  <si>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</si>
  <si>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</si>
  <si>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</si>
  <si>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</si>
  <si>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</si>
  <si>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</si>
  <si>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</si>
  <si>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</si>
  <si>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</si>
  <si>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</si>
  <si>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</si>
  <si>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</si>
  <si>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</si>
  <si>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</si>
  <si>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</si>
  <si>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</si>
  <si>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</si>
  <si>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</si>
  <si>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</si>
  <si>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</si>
  <si>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</si>
  <si>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</si>
  <si>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</si>
  <si>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</si>
  <si>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</si>
  <si>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</si>
  <si>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</si>
  <si>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</si>
  <si>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</si>
  <si>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</si>
  <si>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</si>
  <si>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</si>
  <si>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</si>
  <si>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</si>
  <si>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</si>
  <si>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</si>
  <si>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</si>
  <si>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</si>
  <si>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</si>
  <si>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</si>
  <si>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</si>
  <si>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</si>
  <si>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</si>
  <si>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</si>
  <si>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</si>
  <si>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</si>
  <si>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</si>
  <si>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</si>
  <si>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</si>
  <si>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</si>
  <si>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</si>
  <si>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</si>
  <si>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</si>
  <si>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</si>
  <si>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</si>
  <si>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</si>
  <si>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</si>
  <si>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</si>
  <si>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</si>
  <si>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</si>
  <si>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</si>
  <si>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</si>
  <si>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</si>
  <si>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</si>
  <si>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</si>
  <si>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</si>
  <si>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</si>
  <si>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</si>
  <si>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</si>
  <si>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</si>
  <si>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</si>
  <si>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</si>
  <si>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</si>
  <si>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</si>
  <si>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</si>
  <si>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</si>
  <si>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</si>
  <si>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</si>
  <si>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</si>
  <si>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</si>
  <si>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</si>
  <si>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</si>
  <si>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</si>
  <si>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</si>
  <si>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</si>
  <si>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</si>
  <si>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</si>
  <si>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</si>
  <si>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</si>
  <si>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</si>
  <si>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</si>
  <si>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</si>
  <si>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</si>
  <si>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</si>
  <si>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</si>
  <si>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</si>
  <si>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</si>
  <si>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</si>
  <si>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</si>
  <si>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</si>
  <si>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</si>
  <si>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</si>
  <si>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</si>
  <si>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</si>
  <si>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</si>
  <si>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</si>
  <si>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</si>
  <si>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</si>
  <si>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</si>
  <si>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</si>
  <si>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</si>
  <si>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</si>
  <si>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</si>
  <si>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</si>
  <si>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</si>
  <si>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</si>
  <si>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</si>
  <si>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</si>
  <si>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</si>
  <si>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</si>
  <si>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</si>
  <si>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</si>
  <si>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</si>
  <si>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</si>
  <si>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</si>
  <si>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</si>
  <si>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</si>
  <si>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</si>
  <si>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</si>
  <si>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</si>
  <si>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</si>
  <si>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</si>
  <si>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</si>
  <si>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</si>
  <si>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</si>
  <si>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</si>
  <si>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</si>
  <si>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</si>
  <si>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</si>
  <si>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</si>
  <si>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</si>
  <si>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</si>
  <si>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</si>
  <si>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</si>
  <si>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</si>
  <si>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</si>
  <si>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</si>
  <si>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</si>
  <si>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</si>
  <si>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</si>
  <si>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</si>
  <si>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</si>
  <si>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</si>
  <si>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</si>
  <si>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</si>
  <si>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</si>
  <si>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</si>
  <si>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</si>
  <si>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</si>
  <si>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</si>
  <si>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</si>
  <si>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</si>
  <si>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</si>
  <si>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</si>
  <si>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</si>
  <si>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</si>
  <si>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</si>
  <si>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</si>
  <si>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</si>
  <si>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</si>
  <si>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</si>
  <si>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</si>
  <si>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</si>
  <si>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</si>
  <si>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</si>
  <si>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</si>
  <si>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</si>
  <si>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</si>
  <si>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</si>
  <si>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</si>
  <si>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</si>
  <si>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</si>
  <si>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</si>
  <si>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</si>
  <si>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</si>
  <si>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</si>
  <si>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</si>
  <si>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</si>
  <si>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</si>
  <si>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</si>
  <si>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</si>
  <si>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</si>
  <si>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</si>
  <si>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</si>
  <si>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</si>
  <si>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</si>
  <si>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</si>
  <si>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</si>
  <si>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</si>
  <si>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</si>
  <si>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</si>
  <si>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</si>
  <si>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</si>
  <si>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</si>
  <si>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</si>
  <si>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</si>
  <si>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</si>
  <si>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</si>
  <si>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</si>
  <si>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</si>
  <si>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</si>
  <si>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</si>
  <si>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</si>
  <si>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</si>
  <si>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</si>
  <si>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</si>
  <si>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</si>
  <si>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</si>
  <si>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</si>
  <si>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</si>
  <si>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</si>
  <si>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</si>
  <si>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</si>
  <si>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</si>
  <si>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</si>
  <si>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</si>
  <si>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</si>
  <si>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</si>
  <si>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</si>
  <si>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</si>
  <si>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</si>
  <si>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</si>
  <si>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</si>
  <si>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</si>
  <si>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</si>
  <si>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</si>
  <si>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</si>
  <si>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</si>
  <si>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</si>
  <si>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</si>
  <si>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</si>
  <si>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</si>
  <si>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</si>
  <si>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</si>
  <si>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</si>
  <si>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</si>
  <si>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</si>
  <si>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</si>
  <si>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</si>
  <si>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</si>
  <si>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</si>
  <si>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</si>
  <si>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</si>
  <si>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</si>
  <si>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</si>
  <si>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</si>
  <si>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</si>
  <si>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</si>
  <si>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</si>
  <si>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</si>
  <si>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</si>
  <si>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</si>
  <si>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</si>
  <si>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</si>
  <si>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</si>
  <si>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</si>
  <si>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</si>
  <si>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</si>
  <si>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</si>
  <si>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</si>
  <si>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</si>
  <si>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</si>
  <si>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</si>
  <si>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</si>
  <si>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</si>
  <si>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</si>
  <si>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</si>
  <si>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</si>
  <si>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</si>
  <si>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</si>
  <si>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</si>
  <si>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</si>
  <si>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</si>
  <si>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</si>
  <si>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</si>
  <si>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</si>
  <si>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</si>
  <si>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</si>
  <si>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</si>
  <si>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</si>
  <si>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</si>
  <si>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</si>
  <si>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</si>
  <si>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</si>
  <si>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</si>
  <si>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</si>
  <si>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</si>
  <si>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</si>
  <si>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</si>
  <si>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</si>
  <si>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</si>
  <si>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</si>
  <si>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</si>
  <si>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</si>
  <si>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</si>
  <si>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</si>
  <si>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</si>
  <si>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</si>
  <si>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</si>
  <si>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</si>
  <si>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</si>
  <si>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</si>
  <si>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</si>
  <si>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</si>
  <si>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</si>
  <si>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</si>
  <si>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</si>
  <si>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</si>
  <si>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</si>
  <si>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</si>
  <si>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</si>
  <si>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</si>
  <si>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</si>
  <si>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</si>
  <si>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</si>
  <si>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</si>
  <si>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</si>
  <si>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</si>
  <si>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</si>
  <si>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</si>
  <si>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</si>
  <si>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</si>
  <si>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</si>
  <si>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</si>
  <si>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</si>
  <si>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</si>
  <si>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</si>
  <si>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</si>
  <si>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</si>
  <si>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</si>
  <si>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</si>
  <si>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</si>
  <si>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</si>
  <si>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</si>
  <si>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</si>
  <si>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</si>
  <si>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</si>
  <si>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</si>
  <si>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</si>
  <si>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</si>
  <si>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</si>
  <si>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</si>
  <si>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</si>
  <si>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</si>
  <si>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</si>
  <si>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</si>
  <si>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</si>
  <si>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</si>
  <si>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</si>
  <si>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</si>
  <si>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</si>
  <si>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</si>
  <si>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</si>
  <si>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</si>
  <si>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</si>
  <si>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</si>
  <si>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</si>
  <si>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</si>
  <si>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</si>
  <si>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</si>
  <si>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</si>
  <si>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</si>
  <si>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</si>
  <si>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</si>
  <si>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</si>
  <si>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</si>
  <si>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</si>
  <si>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</si>
  <si>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</si>
  <si>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</si>
  <si>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</si>
  <si>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</si>
  <si>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</si>
  <si>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</si>
  <si>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</si>
  <si>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</si>
  <si>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</si>
  <si>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</si>
  <si>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</si>
  <si>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</si>
  <si>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</si>
  <si>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</si>
  <si>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</si>
  <si>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</si>
  <si>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</si>
  <si>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</si>
  <si>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</si>
  <si>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</si>
  <si>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</si>
  <si>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</si>
  <si>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</si>
  <si>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</si>
  <si>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</si>
  <si>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</si>
  <si>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</si>
  <si>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</si>
  <si>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</si>
  <si>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</si>
  <si>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</si>
  <si>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</si>
  <si>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</si>
  <si>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</si>
  <si>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</si>
  <si>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</si>
  <si>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</si>
  <si>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</si>
  <si>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</si>
  <si>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</si>
  <si>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</si>
  <si>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</si>
  <si>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</si>
  <si>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</si>
  <si>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</si>
  <si>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</si>
  <si>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</si>
  <si>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</si>
  <si>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</si>
  <si>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</si>
  <si>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</si>
  <si>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</si>
  <si>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</si>
  <si>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</si>
  <si>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</si>
  <si>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</si>
  <si>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</si>
  <si>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</si>
  <si>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</si>
  <si>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</si>
  <si>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</si>
  <si>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</si>
  <si>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</si>
  <si>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</si>
  <si>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</si>
  <si>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</si>
  <si>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</si>
  <si>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</si>
  <si>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</si>
  <si>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</si>
  <si>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</si>
  <si>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</si>
  <si>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</si>
  <si>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</si>
  <si>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</si>
  <si>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</si>
  <si>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</si>
  <si>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</si>
  <si>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</si>
  <si>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</si>
  <si>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</si>
  <si>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</si>
  <si>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</si>
  <si>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</si>
  <si>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</si>
  <si>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</si>
  <si>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</si>
  <si>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</si>
  <si>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</si>
  <si>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</si>
  <si>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</si>
  <si>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</si>
  <si>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</si>
  <si>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</si>
  <si>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</si>
  <si>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</si>
  <si>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</si>
  <si>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</si>
  <si>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</si>
  <si>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</si>
  <si>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</si>
  <si>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</si>
  <si>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</si>
  <si>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</si>
  <si>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</si>
  <si>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</si>
  <si>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</si>
  <si>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</si>
  <si>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</si>
  <si>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</si>
  <si>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</si>
  <si>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</si>
  <si>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</si>
  <si>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</si>
  <si>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</si>
  <si>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</si>
  <si>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</si>
  <si>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</si>
  <si>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</si>
  <si>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</si>
  <si>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</si>
  <si>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</si>
  <si>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</si>
  <si>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</si>
  <si>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</si>
  <si>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</si>
  <si>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</si>
  <si>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</si>
  <si>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</si>
  <si>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</si>
  <si>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</si>
  <si>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</si>
  <si>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</si>
  <si>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</si>
  <si>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</si>
  <si>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</si>
  <si>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</si>
  <si>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</si>
  <si>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</si>
  <si>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</si>
  <si>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</si>
  <si>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</si>
  <si>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</si>
  <si>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</si>
  <si>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</si>
  <si>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</si>
  <si>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</si>
  <si>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</si>
  <si>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</si>
  <si>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</si>
  <si>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</si>
  <si>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</si>
  <si>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</si>
  <si>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</si>
  <si>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</si>
  <si>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</si>
  <si>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</si>
  <si>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</si>
  <si>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</si>
  <si>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</si>
  <si>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</si>
  <si>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</si>
  <si>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</si>
  <si>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</si>
  <si>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</si>
  <si>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</si>
  <si>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</si>
  <si>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</si>
  <si>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</si>
  <si>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</si>
  <si>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</si>
  <si>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</si>
  <si>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</si>
  <si>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</si>
  <si>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</si>
  <si>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</si>
  <si>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</si>
  <si>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</si>
  <si>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</si>
  <si>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</si>
  <si>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</si>
  <si>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</si>
  <si>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</si>
  <si>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</si>
  <si>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</si>
  <si>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</si>
  <si>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</si>
  <si>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</si>
  <si>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</si>
  <si>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</si>
  <si>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</si>
  <si>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</si>
  <si>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</si>
  <si>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</si>
  <si>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</si>
  <si>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</si>
  <si>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</si>
  <si>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</si>
  <si>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</si>
  <si>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</si>
  <si>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</si>
  <si>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</si>
  <si>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</si>
  <si>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</si>
  <si>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</si>
  <si>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</si>
  <si>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</si>
  <si>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</si>
  <si>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</si>
  <si>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</si>
  <si>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</si>
  <si>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</si>
  <si>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</si>
  <si>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</si>
  <si>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</si>
  <si>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</si>
  <si>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</si>
  <si>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</si>
  <si>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</si>
  <si>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</si>
  <si>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</si>
  <si>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</si>
  <si>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</si>
  <si>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</si>
  <si>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</si>
  <si>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</si>
  <si>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</si>
  <si>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</si>
  <si>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</si>
  <si>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</si>
  <si>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</si>
  <si>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</si>
  <si>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</si>
  <si>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</si>
  <si>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</si>
  <si>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</si>
  <si>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</si>
  <si>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</si>
  <si>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</si>
  <si>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</si>
  <si>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</si>
  <si>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</si>
  <si>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</si>
  <si>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</si>
  <si>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</si>
  <si>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</si>
  <si>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</si>
  <si>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</si>
  <si>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</si>
  <si>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</si>
  <si>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</si>
  <si>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</si>
  <si>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</si>
  <si>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</si>
  <si>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</si>
  <si>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</si>
  <si>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</si>
  <si>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</si>
  <si>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</si>
  <si>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</si>
  <si>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</si>
  <si>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</si>
  <si>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</si>
  <si>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</si>
  <si>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</si>
  <si>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</si>
  <si>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</si>
  <si>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</si>
  <si>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</si>
  <si>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</si>
  <si>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</si>
  <si>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</si>
  <si>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</si>
  <si>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</si>
  <si>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</si>
  <si>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</si>
  <si>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</si>
  <si>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</si>
  <si>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</si>
  <si>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</si>
  <si>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</si>
  <si>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</si>
  <si>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</si>
  <si>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</si>
  <si>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</si>
  <si>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</si>
  <si>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</si>
  <si>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</si>
  <si>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</si>
  <si>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</si>
  <si>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</si>
  <si>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</si>
  <si>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</si>
  <si>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</si>
  <si>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</si>
  <si>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</si>
  <si>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</si>
  <si>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</si>
  <si>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</si>
  <si>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</si>
  <si>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</si>
  <si>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</si>
  <si>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</si>
  <si>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</si>
  <si>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</si>
  <si>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</si>
  <si>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</si>
  <si>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</si>
  <si>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</si>
  <si>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</si>
  <si>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</si>
  <si>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</si>
  <si>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</si>
  <si>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</si>
  <si>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</si>
  <si>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</si>
  <si>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</si>
  <si>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</si>
  <si>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</si>
  <si>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</si>
  <si>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</si>
  <si>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</si>
  <si>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</si>
  <si>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</si>
  <si>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</si>
  <si>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</si>
  <si>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</si>
  <si>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</si>
  <si>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</si>
  <si>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</si>
  <si>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</si>
  <si>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</si>
  <si>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</si>
  <si>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</si>
  <si>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</si>
  <si>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</si>
  <si>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</si>
  <si>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</si>
  <si>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</si>
  <si>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</si>
  <si>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</si>
  <si>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</si>
  <si>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</si>
  <si>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</si>
  <si>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</si>
  <si>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</si>
  <si>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</si>
  <si>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</si>
  <si>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</si>
  <si>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</si>
  <si>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</si>
  <si>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</si>
  <si>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</si>
  <si>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</si>
  <si>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</si>
  <si>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</si>
  <si>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</si>
  <si>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</si>
  <si>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</si>
  <si>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</si>
  <si>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</si>
  <si>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</si>
  <si>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</si>
  <si>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</si>
  <si>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</si>
  <si>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</si>
  <si>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</si>
  <si>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</si>
  <si>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</si>
  <si>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</si>
  <si>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</si>
  <si>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</si>
  <si>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</si>
  <si>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</si>
  <si>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</si>
  <si>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</si>
  <si>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</si>
  <si>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</si>
  <si>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</si>
  <si>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</si>
  <si>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</si>
  <si>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</si>
  <si>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</si>
  <si>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</si>
  <si>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</si>
  <si>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</si>
  <si>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</si>
  <si>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</si>
  <si>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</si>
  <si>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</si>
  <si>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</si>
  <si>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</si>
  <si>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</si>
  <si>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</si>
  <si>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</si>
  <si>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</si>
  <si>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</si>
  <si>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</si>
  <si>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</si>
  <si>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</si>
  <si>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</si>
  <si>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</si>
  <si>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</si>
  <si>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</si>
  <si>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</si>
  <si>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</si>
  <si>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</si>
  <si>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</si>
  <si>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</si>
  <si>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</si>
  <si>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</si>
  <si>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</si>
  <si>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</si>
  <si>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</si>
  <si>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</si>
  <si>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</si>
  <si>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</si>
  <si>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</si>
  <si>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</si>
  <si>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</si>
  <si>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</si>
  <si>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</si>
  <si>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</si>
  <si>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</si>
  <si>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</si>
  <si>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</si>
  <si>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</si>
  <si>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</si>
  <si>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</si>
  <si>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</si>
  <si>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</si>
  <si>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</si>
  <si>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</si>
  <si>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</si>
  <si>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</si>
  <si>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</si>
  <si>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</si>
  <si>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</si>
  <si>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</si>
  <si>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</si>
  <si>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</si>
  <si>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</si>
  <si>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</si>
  <si>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</si>
  <si>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</si>
  <si>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</si>
  <si>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</si>
  <si>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</si>
  <si>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</si>
  <si>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</si>
  <si>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</si>
  <si>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</si>
  <si>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</si>
  <si>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</si>
  <si>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</si>
  <si>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</si>
  <si>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</si>
  <si>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</si>
  <si>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</si>
  <si>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</si>
  <si>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</si>
  <si>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</si>
  <si>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</si>
  <si>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</si>
  <si>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</si>
  <si>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</si>
  <si>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</si>
  <si>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</si>
  <si>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</si>
  <si>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</si>
  <si>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</si>
  <si>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</si>
  <si>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</si>
  <si>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</si>
  <si>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</si>
  <si>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</si>
  <si>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</si>
  <si>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</si>
  <si>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</si>
  <si>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</si>
  <si>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</si>
  <si>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</si>
  <si>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</si>
  <si>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</si>
  <si>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</si>
  <si>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</si>
  <si>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</si>
  <si>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</si>
  <si>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</si>
  <si>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</si>
  <si>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</si>
  <si>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</si>
  <si>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</si>
  <si>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</si>
  <si>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</si>
  <si>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</si>
  <si>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</si>
  <si>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</si>
  <si>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</si>
  <si>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</si>
  <si>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</si>
  <si>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</si>
  <si>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</si>
  <si>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</si>
  <si>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</si>
  <si>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</si>
  <si>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</si>
  <si>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</si>
  <si>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</si>
  <si>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</si>
  <si>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</si>
  <si>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</si>
  <si>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</si>
  <si>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</si>
  <si>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</si>
  <si>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</si>
  <si>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</si>
  <si>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</si>
  <si>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</si>
  <si>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</si>
  <si>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</si>
  <si>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</si>
  <si>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</si>
  <si>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</si>
  <si>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</si>
  <si>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</si>
  <si>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</si>
  <si>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</si>
  <si>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</si>
  <si>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</si>
  <si>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</si>
  <si>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</si>
  <si>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</si>
  <si>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</si>
  <si>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</si>
  <si>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</si>
  <si>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</si>
  <si>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</si>
  <si>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</si>
  <si>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</si>
  <si>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</si>
  <si>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</si>
  <si>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</si>
  <si>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</si>
  <si>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</si>
  <si>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</si>
  <si>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</si>
  <si>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</si>
  <si>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</si>
  <si>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</si>
  <si>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</si>
  <si>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</si>
  <si>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</si>
  <si>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</si>
  <si>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</si>
  <si>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</si>
  <si>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</si>
  <si>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</si>
  <si>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</si>
  <si>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</si>
  <si>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</si>
  <si>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</si>
  <si>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</si>
  <si>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</si>
  <si>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</si>
  <si>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</si>
  <si>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</si>
  <si>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</si>
  <si>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</si>
  <si>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</si>
  <si>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</si>
  <si>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</si>
  <si>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</si>
  <si>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</si>
  <si>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</si>
  <si>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</si>
  <si>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</si>
  <si>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</si>
  <si>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</si>
  <si>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</si>
  <si>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</si>
  <si>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</si>
  <si>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</si>
  <si>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</si>
  <si>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</si>
  <si>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</si>
  <si>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</si>
  <si>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</si>
  <si>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</si>
  <si>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</si>
  <si>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</si>
  <si>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</si>
  <si>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</si>
  <si>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</si>
  <si>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</si>
  <si>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</si>
  <si>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</si>
  <si>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</si>
  <si>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</si>
  <si>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</si>
  <si>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</si>
  <si>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</si>
  <si>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</si>
  <si>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</si>
  <si>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</si>
  <si>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</si>
  <si>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</si>
  <si>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</si>
  <si>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</si>
  <si>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</si>
  <si>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</si>
  <si>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</si>
  <si>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</si>
  <si>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</si>
  <si>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</si>
  <si>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</si>
  <si>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</si>
  <si>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</si>
  <si>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</si>
  <si>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</si>
  <si>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</si>
  <si>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</si>
  <si>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</si>
  <si>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</si>
  <si>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</si>
  <si>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</si>
  <si>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</si>
  <si>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</si>
  <si>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</si>
  <si>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</si>
  <si>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</si>
  <si>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</si>
  <si>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</si>
  <si>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</si>
  <si>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</si>
  <si>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</si>
  <si>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</si>
  <si>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</si>
  <si>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</si>
  <si>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</si>
  <si>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</si>
  <si>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</si>
  <si>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</si>
  <si>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</si>
  <si>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</si>
  <si>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</si>
  <si>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</si>
  <si>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</si>
  <si>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</si>
  <si>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</si>
  <si>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</si>
  <si>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</si>
  <si>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</si>
  <si>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</si>
  <si>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</si>
  <si>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</si>
  <si>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</si>
  <si>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</si>
  <si>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</si>
  <si>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</si>
  <si>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</si>
  <si>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</si>
  <si>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</si>
  <si>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</si>
  <si>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</si>
  <si>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</si>
  <si>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</si>
  <si>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</si>
  <si>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</si>
  <si>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</si>
  <si>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</si>
  <si>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</si>
  <si>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</si>
  <si>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</si>
  <si>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</si>
  <si>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</si>
  <si>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</si>
  <si>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</si>
  <si>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</si>
  <si>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</si>
  <si>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</si>
  <si>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</si>
  <si>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</si>
  <si>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</si>
  <si>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</si>
  <si>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</si>
  <si>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</si>
  <si>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</si>
  <si>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</si>
  <si>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</si>
  <si>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</si>
  <si>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</si>
  <si>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</si>
  <si>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</si>
  <si>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</si>
  <si>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</si>
  <si>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</si>
  <si>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</si>
  <si>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</si>
  <si>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</si>
  <si>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</si>
  <si>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</si>
  <si>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</si>
  <si>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</si>
  <si>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</si>
  <si>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</si>
  <si>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</si>
  <si>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</si>
  <si>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</si>
  <si>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</si>
  <si>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</si>
  <si>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</si>
  <si>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</si>
  <si>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</si>
  <si>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</si>
  <si>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</si>
  <si>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</si>
  <si>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</si>
  <si>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</si>
  <si>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</si>
  <si>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</si>
  <si>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</si>
  <si>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</si>
  <si>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</si>
  <si>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</si>
  <si>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</si>
  <si>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</si>
  <si>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</si>
  <si>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</si>
  <si>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</si>
  <si>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</si>
  <si>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</si>
  <si>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</si>
  <si>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</si>
  <si>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</si>
  <si>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</si>
  <si>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</si>
  <si>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</si>
  <si>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</si>
  <si>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</si>
  <si>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</si>
  <si>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</si>
  <si>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</si>
  <si>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</si>
  <si>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</si>
  <si>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</si>
  <si>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</si>
  <si>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</si>
  <si>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</si>
  <si>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</si>
  <si>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</si>
  <si>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</si>
  <si>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</si>
  <si>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</si>
  <si>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</si>
  <si>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</si>
  <si>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</si>
  <si>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</si>
  <si>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</si>
  <si>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</si>
  <si>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</si>
  <si>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</si>
  <si>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</si>
  <si>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</si>
  <si>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</si>
  <si>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</si>
  <si>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</si>
  <si>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</si>
  <si>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</si>
  <si>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</si>
  <si>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</si>
  <si>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</si>
  <si>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</si>
  <si>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</si>
  <si>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</si>
  <si>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</si>
  <si>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</si>
  <si>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</si>
  <si>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</si>
  <si>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</si>
  <si>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</si>
  <si>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</si>
  <si>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</si>
  <si>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</si>
  <si>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</si>
  <si>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</si>
  <si>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</si>
  <si>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</si>
  <si>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</si>
  <si>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</si>
  <si>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</si>
  <si>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</si>
  <si>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</si>
  <si>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</si>
  <si>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</si>
  <si>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</si>
  <si>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</si>
  <si>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</si>
  <si>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</si>
  <si>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</si>
  <si>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</si>
  <si>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</si>
  <si>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</si>
  <si>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</si>
  <si>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</si>
  <si>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</si>
  <si>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</si>
  <si>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</si>
  <si>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</si>
  <si>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</si>
  <si>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</si>
  <si>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</si>
  <si>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</si>
  <si>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</si>
  <si>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</si>
  <si>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</si>
  <si>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</si>
  <si>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</si>
  <si>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</si>
  <si>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</si>
  <si>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</si>
  <si>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</si>
  <si>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</si>
  <si>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</si>
  <si>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</si>
  <si>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</si>
  <si>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</si>
  <si>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</si>
  <si>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</si>
  <si>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</si>
  <si>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</si>
  <si>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</si>
  <si>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</si>
  <si>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</si>
  <si>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</si>
  <si>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</si>
  <si>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</si>
  <si>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</si>
  <si>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</si>
  <si>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</si>
  <si>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</si>
  <si>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</si>
  <si>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</si>
  <si>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</si>
  <si>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</si>
  <si>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</si>
  <si>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</si>
  <si>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</si>
  <si>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</si>
  <si>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</si>
  <si>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</si>
  <si>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</si>
  <si>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</si>
  <si>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</si>
  <si>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</si>
  <si>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</si>
  <si>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</si>
  <si>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</si>
  <si>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</si>
  <si>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</si>
  <si>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</si>
  <si>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</si>
  <si>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</si>
  <si>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</si>
  <si>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</si>
  <si>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</si>
  <si>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</si>
  <si>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</si>
  <si>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</si>
  <si>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</si>
  <si>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</si>
  <si>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</si>
  <si>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</si>
  <si>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</si>
  <si>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</si>
  <si>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</si>
  <si>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</si>
  <si>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</si>
  <si>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</si>
  <si>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</si>
  <si>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</si>
  <si>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</si>
  <si>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</si>
  <si>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</si>
  <si>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</si>
  <si>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</si>
  <si>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</si>
  <si>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</si>
  <si>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</si>
  <si>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</si>
  <si>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</si>
  <si>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</si>
  <si>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</si>
  <si>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</si>
  <si>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</si>
  <si>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</si>
  <si>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</si>
  <si>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</si>
  <si>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</si>
  <si>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</si>
  <si>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</si>
  <si>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</si>
  <si>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</si>
  <si>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</si>
  <si>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</si>
  <si>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</si>
  <si>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</si>
  <si>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</si>
  <si>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</si>
  <si>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</si>
  <si>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</si>
  <si>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</si>
  <si>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</si>
  <si>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</si>
  <si>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</si>
  <si>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</si>
  <si>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</si>
  <si>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</si>
  <si>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</si>
  <si>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</si>
  <si>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</si>
  <si>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</si>
  <si>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</si>
  <si>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</si>
  <si>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</si>
  <si>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</si>
  <si>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</si>
  <si>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</si>
  <si>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</si>
  <si>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</si>
  <si>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</si>
  <si>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</si>
  <si>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</si>
  <si>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</si>
  <si>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</si>
  <si>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</si>
  <si>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</si>
  <si>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</si>
  <si>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</si>
  <si>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</si>
  <si>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</si>
  <si>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</si>
  <si>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</si>
  <si>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</si>
  <si>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</si>
  <si>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</si>
  <si>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</si>
  <si>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</si>
  <si>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</si>
  <si>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</si>
  <si>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</si>
  <si>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</si>
  <si>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</si>
  <si>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</si>
  <si>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</si>
  <si>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</si>
  <si>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</si>
  <si>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</si>
  <si>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</si>
  <si>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</si>
  <si>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</si>
  <si>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</si>
  <si>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</si>
  <si>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</si>
  <si>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</si>
  <si>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</si>
  <si>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</si>
  <si>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</si>
  <si>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</si>
  <si>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</si>
  <si>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</si>
  <si>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</si>
  <si>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</si>
  <si>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</si>
  <si>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</si>
  <si>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</si>
  <si>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</si>
  <si>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</si>
  <si>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</si>
  <si>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</si>
  <si>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</si>
  <si>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</si>
  <si>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</si>
  <si>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</si>
  <si>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</si>
  <si>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</si>
  <si>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</si>
  <si>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</si>
  <si>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</si>
  <si>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</si>
  <si>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</si>
  <si>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</si>
  <si>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</si>
  <si>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</si>
  <si>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</si>
  <si>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</si>
  <si>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</si>
  <si>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</si>
  <si>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</si>
  <si>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</si>
  <si>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</si>
  <si>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</si>
  <si>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</si>
  <si>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</si>
  <si>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</si>
  <si>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</si>
  <si>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</si>
  <si>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</si>
  <si>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</si>
  <si>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</si>
  <si>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</si>
  <si>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</si>
  <si>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</si>
  <si>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</si>
  <si>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</si>
  <si>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</si>
  <si>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</si>
  <si>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</si>
  <si>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</si>
  <si>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</si>
  <si>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</si>
  <si>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</si>
  <si>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</si>
  <si>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</si>
  <si>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</si>
  <si>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</si>
  <si>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</si>
  <si>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</si>
  <si>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</si>
  <si>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</si>
  <si>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</si>
  <si>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</si>
  <si>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</si>
  <si>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</si>
  <si>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</si>
  <si>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</si>
  <si>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</si>
  <si>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</si>
  <si>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</si>
  <si>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</si>
  <si>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</si>
  <si>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</si>
  <si>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</si>
  <si>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</si>
  <si>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</si>
  <si>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</si>
  <si>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</si>
  <si>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</si>
  <si>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</si>
  <si>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</si>
  <si>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</si>
  <si>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</si>
  <si>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</si>
  <si>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</si>
  <si>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</si>
  <si>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</si>
  <si>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</si>
  <si>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</si>
  <si>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</si>
  <si>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</si>
  <si>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</si>
  <si>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</si>
  <si>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</si>
  <si>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</si>
  <si>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</si>
  <si>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</si>
  <si>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</si>
  <si>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</si>
  <si>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</si>
  <si>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</si>
  <si>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</si>
  <si>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</si>
  <si>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</si>
  <si>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</si>
  <si>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</si>
  <si>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</si>
  <si>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</si>
  <si>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</si>
  <si>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</si>
  <si>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</si>
  <si>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</si>
  <si>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</si>
  <si>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</si>
  <si>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</si>
  <si>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</si>
  <si>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</si>
  <si>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</si>
  <si>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</si>
  <si>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</si>
  <si>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</si>
  <si>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</si>
  <si>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</si>
  <si>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</si>
  <si>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</si>
  <si>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</si>
  <si>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</si>
  <si>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</si>
  <si>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</si>
  <si>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</si>
  <si>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</si>
  <si>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</si>
  <si>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</si>
  <si>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</si>
  <si>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</si>
  <si>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</si>
  <si>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</si>
  <si>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</si>
  <si>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</si>
  <si>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</si>
  <si>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</si>
  <si>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</si>
  <si>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</si>
  <si>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</si>
  <si>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</si>
  <si>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</si>
  <si>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</si>
  <si>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</si>
  <si>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</si>
  <si>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</si>
  <si>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</si>
  <si>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</si>
  <si>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</si>
  <si>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</si>
  <si>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</si>
  <si>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</si>
  <si>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</si>
  <si>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</si>
  <si>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</si>
  <si>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</si>
  <si>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</si>
  <si>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</si>
  <si>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</si>
  <si>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</si>
  <si>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</si>
  <si>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</si>
  <si>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</si>
  <si>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</si>
  <si>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</si>
  <si>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</si>
  <si>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</si>
  <si>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</si>
  <si>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</si>
  <si>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</si>
  <si>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</si>
  <si>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</si>
  <si>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</si>
  <si>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</si>
  <si>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</si>
  <si>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</si>
  <si>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</si>
  <si>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</si>
  <si>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</si>
  <si>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</si>
  <si>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</si>
  <si>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</si>
  <si>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</si>
  <si>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</si>
  <si>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</si>
  <si>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</si>
  <si>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</si>
  <si>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</si>
  <si>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</si>
  <si>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</si>
  <si>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</si>
  <si>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</si>
  <si>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</si>
  <si>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</si>
  <si>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</si>
  <si>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</si>
  <si>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</si>
  <si>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</si>
  <si>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</si>
  <si>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</si>
  <si>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</si>
  <si>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</si>
  <si>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</si>
  <si>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</si>
  <si>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</si>
  <si>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</si>
  <si>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</si>
  <si>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</si>
  <si>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</si>
  <si>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</si>
  <si>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</si>
  <si>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</si>
  <si>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</si>
  <si>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</si>
  <si>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</si>
  <si>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</si>
  <si>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</si>
  <si>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</si>
  <si>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</si>
  <si>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</si>
  <si>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</si>
  <si>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</si>
  <si>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</si>
  <si>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</si>
  <si>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</si>
  <si>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</si>
  <si>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</si>
  <si>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</si>
  <si>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</si>
  <si>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</si>
  <si>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</si>
  <si>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</si>
  <si>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</si>
  <si>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</si>
  <si>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</si>
  <si>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</si>
  <si>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</si>
  <si>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</si>
  <si>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</si>
  <si>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</si>
  <si>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</si>
  <si>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</si>
  <si>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</si>
  <si>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</si>
  <si>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</si>
  <si>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</si>
  <si>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</si>
  <si>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</si>
  <si>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</si>
  <si>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</si>
  <si>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</si>
  <si>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</si>
  <si>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</si>
  <si>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</si>
  <si>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</si>
  <si>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</si>
  <si>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</si>
  <si>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</si>
  <si>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</si>
  <si>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</si>
  <si>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</si>
  <si>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</si>
  <si>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</si>
  <si>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</si>
  <si>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</si>
  <si>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</si>
  <si>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</si>
  <si>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</si>
  <si>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</si>
  <si>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</si>
  <si>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</si>
  <si>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</si>
  <si>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</si>
  <si>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</si>
  <si>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</si>
  <si>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</si>
  <si>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</si>
  <si>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</si>
  <si>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</si>
  <si>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</si>
  <si>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</si>
  <si>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</si>
  <si>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</si>
  <si>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</si>
  <si>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</si>
  <si>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</si>
  <si>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</si>
  <si>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</si>
  <si>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</si>
  <si>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</si>
  <si>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</si>
  <si>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</si>
  <si>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</si>
  <si>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</si>
  <si>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</si>
  <si>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</si>
  <si>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</si>
  <si>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</si>
  <si>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</si>
  <si>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</si>
  <si>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</si>
  <si>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</si>
  <si>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</si>
  <si>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</si>
  <si>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</si>
  <si>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</si>
  <si>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</si>
  <si>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</si>
  <si>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</si>
  <si>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</si>
  <si>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</si>
  <si>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</si>
  <si>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</si>
  <si>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</si>
  <si>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</si>
  <si>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</si>
  <si>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</si>
  <si>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</si>
  <si>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</si>
  <si>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</si>
  <si>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</si>
  <si>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</si>
  <si>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</si>
  <si>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</si>
  <si>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</si>
  <si>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</si>
  <si>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</si>
  <si>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</si>
  <si>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</si>
  <si>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</si>
  <si>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</si>
  <si>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</si>
  <si>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</si>
  <si>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</si>
  <si>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</si>
  <si>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</si>
  <si>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</si>
  <si>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</si>
  <si>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</si>
  <si>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</si>
  <si>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</si>
  <si>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</si>
  <si>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</si>
  <si>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</si>
  <si>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</si>
  <si>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</si>
  <si>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</si>
  <si>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</si>
  <si>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</si>
  <si>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</si>
  <si>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</si>
  <si>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</si>
  <si>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</si>
  <si>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</si>
  <si>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</si>
  <si>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</si>
  <si>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</si>
  <si>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</si>
  <si>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</si>
  <si>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</si>
  <si>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</si>
  <si>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</si>
  <si>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</si>
  <si>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</si>
  <si>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</si>
  <si>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</si>
  <si>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</si>
  <si>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</si>
  <si>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</si>
  <si>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</si>
  <si>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</si>
  <si>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</si>
  <si>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</si>
  <si>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</si>
  <si>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</si>
  <si>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</si>
  <si>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</si>
  <si>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</si>
  <si>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</si>
  <si>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</si>
  <si>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</si>
  <si>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</si>
  <si>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</si>
  <si>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</si>
  <si>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</si>
  <si>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</si>
  <si>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</si>
  <si>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</si>
  <si>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</si>
  <si>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</si>
  <si>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</si>
  <si>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</si>
  <si>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</si>
  <si>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</si>
  <si>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</si>
  <si>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</si>
  <si>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</si>
  <si>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</si>
  <si>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</si>
  <si>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</si>
  <si>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</si>
  <si>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</si>
  <si>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</si>
  <si>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</si>
  <si>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</si>
  <si>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</si>
  <si>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</si>
  <si>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</si>
  <si>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</si>
  <si>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</si>
  <si>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</si>
  <si>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</si>
  <si>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</si>
  <si>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</si>
  <si>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</si>
  <si>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</si>
  <si>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</si>
  <si>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</si>
  <si>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</si>
  <si>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</si>
  <si>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</si>
  <si>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</si>
  <si>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</si>
  <si>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</si>
  <si>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</si>
  <si>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</si>
  <si>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</si>
  <si>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</si>
  <si>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</si>
  <si>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</si>
  <si>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</si>
  <si>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</si>
  <si>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</si>
  <si>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</si>
  <si>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</si>
  <si>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</si>
  <si>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</si>
  <si>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</si>
  <si>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</si>
  <si>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</si>
  <si>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</si>
  <si>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</si>
  <si>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</si>
  <si>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</si>
  <si>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</si>
  <si>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</si>
  <si>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</si>
  <si>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</si>
  <si>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</si>
  <si>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</si>
  <si>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</si>
  <si>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</si>
  <si>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</si>
  <si>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</si>
  <si>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</si>
  <si>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</si>
  <si>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</si>
  <si>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</si>
  <si>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</si>
  <si>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</si>
  <si>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</si>
  <si>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</si>
  <si>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</si>
  <si>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</si>
  <si>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</si>
  <si>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</si>
  <si>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</si>
  <si>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</si>
  <si>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</si>
  <si>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</si>
  <si>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</si>
  <si>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</si>
  <si>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</si>
  <si>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</si>
  <si>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</si>
  <si>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</si>
  <si>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</si>
  <si>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</si>
  <si>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</si>
  <si>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</si>
  <si>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</si>
  <si>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</si>
  <si>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</si>
  <si>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</si>
  <si>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</si>
  <si>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</si>
  <si>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</si>
  <si>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</si>
  <si>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</si>
  <si>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</si>
  <si>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</si>
  <si>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</si>
  <si>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</si>
  <si>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</si>
  <si>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</si>
  <si>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</si>
  <si>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</si>
  <si>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</si>
  <si>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</si>
  <si>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</si>
  <si>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</si>
  <si>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</si>
  <si>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</si>
  <si>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</si>
  <si>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</si>
  <si>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</si>
  <si>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</si>
  <si>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</si>
  <si>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</si>
  <si>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</si>
  <si>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</si>
  <si>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</si>
  <si>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</si>
  <si>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</si>
  <si>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</si>
  <si>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</si>
  <si>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</si>
  <si>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</si>
  <si>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</si>
  <si>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</si>
  <si>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</si>
  <si>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</si>
  <si>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</si>
  <si>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</si>
  <si>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</si>
  <si>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</si>
  <si>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</si>
  <si>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</si>
  <si>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</si>
  <si>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</si>
  <si>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</si>
  <si>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</si>
  <si>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</si>
  <si>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</si>
  <si>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</si>
  <si>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</si>
  <si>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</si>
  <si>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</si>
  <si>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</si>
  <si>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</si>
  <si>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</si>
  <si>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</si>
  <si>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</si>
  <si>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</si>
  <si>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</si>
  <si>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</si>
  <si>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</si>
  <si>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</si>
  <si>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</si>
  <si>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</si>
  <si>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</si>
  <si>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</si>
  <si>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</si>
  <si>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</si>
  <si>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</si>
  <si>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</si>
  <si>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</si>
  <si>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</si>
  <si>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</si>
  <si>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</si>
  <si>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</si>
  <si>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</si>
  <si>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</si>
  <si>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</si>
  <si>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</si>
  <si>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</si>
  <si>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</si>
  <si>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</si>
  <si>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</si>
  <si>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</si>
  <si>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</si>
  <si>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</si>
  <si>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</si>
  <si>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</si>
  <si>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</si>
  <si>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</si>
  <si>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</si>
  <si>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</si>
  <si>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</si>
  <si>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</si>
  <si>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</si>
  <si>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</si>
  <si>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</si>
  <si>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</si>
  <si>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</si>
  <si>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</si>
  <si>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</si>
  <si>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</si>
  <si>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</si>
  <si>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</si>
  <si>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</si>
  <si>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</si>
  <si>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</si>
  <si>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</si>
  <si>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</si>
  <si>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</si>
  <si>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</si>
  <si>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</si>
  <si>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</si>
  <si>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</si>
  <si>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</si>
  <si>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</si>
  <si>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</si>
  <si>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</si>
  <si>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</si>
  <si>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</si>
  <si>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</si>
  <si>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</si>
  <si>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</si>
  <si>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</si>
  <si>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</si>
  <si>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</si>
  <si>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</si>
  <si>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</si>
  <si>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</si>
  <si>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</si>
  <si>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</si>
  <si>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</si>
  <si>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</si>
  <si>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</si>
  <si>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</si>
  <si>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</si>
  <si>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</si>
  <si>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</si>
  <si>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</si>
  <si>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</si>
  <si>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</si>
  <si>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</si>
  <si>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</si>
  <si>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</si>
  <si>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</si>
  <si>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</si>
  <si>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</si>
  <si>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</si>
  <si>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</si>
  <si>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</si>
  <si>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</si>
  <si>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</si>
  <si>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</si>
  <si>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</si>
  <si>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</si>
  <si>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</si>
  <si>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</si>
  <si>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</si>
  <si>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</si>
  <si>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</si>
  <si>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</si>
  <si>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</si>
  <si>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</si>
  <si>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</si>
  <si>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</si>
  <si>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</si>
  <si>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</si>
  <si>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</si>
  <si>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</si>
  <si>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</si>
  <si>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</si>
  <si>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</si>
  <si>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</si>
  <si>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</si>
  <si>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</si>
  <si>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</si>
  <si>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</si>
  <si>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</si>
  <si>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</si>
  <si>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</si>
  <si>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</si>
  <si>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</si>
  <si>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</si>
  <si>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</si>
  <si>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</si>
  <si>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</si>
  <si>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</si>
  <si>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</si>
  <si>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</si>
  <si>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</si>
  <si>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</si>
  <si>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</si>
  <si>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</si>
  <si>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</si>
  <si>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</si>
  <si>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</si>
  <si>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</si>
  <si>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</si>
  <si>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</si>
  <si>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</si>
  <si>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</si>
  <si>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</si>
  <si>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</si>
  <si>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</si>
  <si>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</si>
  <si>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</si>
  <si>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</si>
  <si>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</si>
  <si>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</si>
  <si>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</si>
  <si>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</si>
  <si>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</si>
  <si>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</si>
  <si>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</si>
  <si>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</si>
  <si>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</si>
  <si>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</si>
  <si>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</si>
  <si>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</si>
  <si>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</si>
  <si>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</si>
  <si>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</si>
  <si>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</si>
  <si>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</si>
  <si>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</si>
  <si>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</si>
  <si>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</si>
  <si>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</si>
  <si>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</si>
  <si>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</si>
  <si>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</si>
  <si>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</si>
  <si>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</si>
  <si>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</si>
  <si>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</si>
  <si>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</si>
  <si>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</si>
  <si>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</si>
  <si>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</si>
  <si>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</si>
  <si>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</si>
  <si>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</si>
  <si>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</si>
  <si>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</si>
  <si>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</si>
  <si>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</si>
  <si>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</si>
  <si>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</si>
  <si>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</si>
  <si>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</si>
  <si>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</si>
  <si>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</si>
  <si>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</si>
  <si>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</si>
  <si>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</si>
  <si>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</si>
  <si>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</si>
  <si>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</si>
  <si>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</si>
  <si>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</si>
  <si>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</si>
  <si>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</si>
  <si>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</si>
  <si>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</si>
  <si>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</si>
  <si>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</si>
  <si>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</si>
  <si>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</si>
  <si>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</si>
  <si>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</si>
  <si>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</si>
  <si>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</si>
  <si>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</si>
  <si>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</si>
  <si>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</si>
  <si>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</si>
  <si>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</si>
  <si>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</si>
  <si>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</si>
  <si>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</si>
  <si>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</si>
  <si>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</si>
  <si>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</si>
  <si>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</si>
  <si>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</si>
  <si>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</si>
  <si>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</si>
  <si>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</si>
  <si>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</si>
  <si>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</si>
  <si>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</si>
  <si>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</si>
  <si>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</si>
  <si>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</si>
  <si>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</si>
  <si>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</si>
  <si>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</si>
  <si>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</si>
  <si>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</si>
  <si>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</si>
  <si>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</si>
  <si>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</si>
  <si>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</si>
  <si>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</si>
  <si>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</si>
  <si>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</si>
  <si>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</si>
  <si>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</si>
  <si>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</si>
  <si>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</si>
  <si>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</si>
  <si>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</si>
  <si>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</si>
  <si>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</si>
  <si>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</si>
  <si>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</si>
  <si>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</si>
  <si>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</si>
  <si>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</si>
  <si>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</si>
  <si>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</si>
  <si>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</si>
  <si>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</si>
  <si>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</si>
  <si>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</si>
  <si>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</si>
  <si>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</si>
  <si>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</si>
  <si>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</si>
  <si>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</si>
  <si>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</si>
  <si>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</si>
  <si>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</si>
  <si>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</si>
  <si>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</si>
  <si>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</si>
  <si>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</si>
  <si>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</si>
  <si>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</si>
  <si>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</si>
  <si>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</si>
  <si>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</si>
  <si>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</si>
  <si>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</si>
  <si>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</si>
  <si>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</si>
  <si>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</si>
  <si>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</si>
  <si>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</si>
  <si>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</si>
  <si>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</si>
  <si>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</si>
  <si>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</si>
  <si>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</si>
  <si>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</si>
  <si>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</si>
  <si>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</si>
  <si>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</si>
  <si>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</si>
  <si>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</si>
  <si>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</si>
  <si>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</si>
  <si>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</si>
  <si>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</si>
  <si>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</si>
  <si>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</si>
  <si>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</si>
  <si>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</si>
  <si>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</si>
  <si>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</si>
  <si>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</si>
  <si>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</si>
  <si>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</si>
  <si>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</si>
  <si>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</si>
  <si>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</si>
  <si>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</si>
  <si>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</si>
  <si>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</si>
  <si>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</si>
  <si>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</si>
  <si>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</si>
  <si>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</si>
  <si>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</si>
  <si>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</si>
  <si>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</si>
  <si>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</si>
  <si>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</si>
  <si>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</si>
  <si>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</si>
  <si>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</si>
  <si>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</si>
  <si>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</si>
  <si>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</si>
  <si>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</si>
  <si>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</si>
  <si>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</si>
  <si>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</si>
  <si>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</si>
  <si>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</si>
  <si>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</si>
  <si>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</si>
  <si>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</si>
  <si>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</si>
  <si>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</si>
  <si>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</si>
  <si>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</si>
  <si>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</si>
  <si>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</si>
  <si>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</si>
  <si>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</si>
  <si>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</si>
  <si>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</si>
  <si>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</si>
  <si>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</si>
  <si>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</si>
  <si>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</si>
  <si>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</si>
  <si>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</si>
  <si>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</si>
  <si>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</si>
  <si>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</si>
  <si>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</si>
  <si>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</si>
  <si>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</si>
  <si>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</si>
  <si>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</si>
  <si>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</si>
  <si>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</si>
  <si>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</si>
  <si>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</si>
  <si>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</si>
  <si>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</si>
  <si>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</si>
  <si>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</si>
  <si>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</si>
  <si>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</si>
  <si>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</si>
  <si>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</si>
  <si>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</si>
  <si>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</si>
  <si>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</si>
  <si>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</si>
  <si>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</si>
  <si>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</si>
  <si>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</si>
  <si>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</si>
  <si>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</si>
  <si>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</si>
  <si>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</si>
  <si>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</si>
  <si>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</si>
  <si>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</si>
  <si>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</si>
  <si>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</si>
  <si>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</si>
  <si>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</si>
  <si>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</si>
  <si>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</si>
  <si>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</si>
  <si>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</si>
  <si>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</si>
  <si>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</si>
  <si>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</si>
  <si>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</si>
  <si>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</si>
  <si>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</si>
  <si>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</si>
  <si>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</si>
  <si>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</si>
  <si>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</si>
  <si>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</si>
  <si>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</si>
  <si>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</si>
  <si>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</si>
  <si>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</si>
  <si>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</si>
  <si>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</si>
  <si>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</si>
  <si>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</si>
  <si>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</si>
  <si>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</si>
  <si>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</si>
  <si>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</si>
  <si>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</si>
  <si>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</si>
  <si>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</si>
  <si>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</si>
  <si>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</si>
  <si>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</si>
  <si>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</si>
  <si>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</si>
  <si>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</si>
  <si>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</si>
  <si>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</si>
  <si>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</si>
  <si>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</si>
  <si>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</si>
  <si>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</si>
  <si>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</si>
  <si>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</si>
  <si>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</si>
  <si>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</si>
  <si>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</si>
  <si>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</si>
  <si>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</si>
  <si>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</si>
  <si>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</si>
  <si>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</si>
  <si>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</si>
  <si>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</si>
  <si>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</si>
  <si>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</si>
  <si>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</si>
  <si>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</si>
  <si>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</si>
  <si>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</si>
  <si>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</si>
  <si>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</si>
  <si>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</si>
  <si>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</si>
  <si>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</si>
  <si>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</si>
  <si>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</si>
  <si>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</si>
  <si>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</si>
  <si>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</si>
  <si>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</si>
  <si>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</si>
  <si>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</si>
  <si>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</si>
  <si>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</si>
  <si>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</si>
  <si>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</si>
  <si>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</si>
  <si>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</si>
  <si>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</si>
  <si>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</si>
  <si>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</si>
  <si>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</si>
  <si>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</si>
  <si>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</si>
  <si>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</si>
  <si>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</si>
  <si>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</si>
  <si>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</si>
  <si>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</si>
  <si>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</si>
  <si>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</si>
  <si>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</si>
  <si>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</si>
  <si>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</si>
  <si>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</si>
  <si>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</si>
  <si>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</si>
  <si>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</si>
  <si>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</si>
  <si>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</si>
  <si>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</si>
  <si>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</si>
  <si>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</si>
  <si>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</si>
  <si>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</si>
  <si>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</si>
  <si>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</si>
  <si>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</si>
  <si>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</si>
  <si>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</si>
  <si>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</si>
  <si>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</si>
  <si>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</si>
  <si>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</si>
  <si>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</si>
  <si>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</si>
  <si>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</si>
  <si>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</si>
  <si>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</si>
  <si>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</si>
  <si>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</si>
  <si>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</si>
  <si>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</si>
  <si>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</si>
  <si>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</si>
  <si>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</si>
  <si>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</si>
  <si>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</si>
  <si>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</si>
  <si>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</si>
  <si>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</si>
  <si>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</si>
  <si>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</si>
  <si>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</si>
  <si>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</si>
  <si>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</si>
  <si>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</si>
  <si>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</si>
  <si>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</si>
  <si>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</si>
  <si>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</si>
  <si>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</si>
  <si>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</si>
  <si>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</si>
  <si>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</si>
  <si>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</si>
  <si>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</si>
  <si>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</si>
  <si>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</si>
  <si>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</si>
  <si>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</si>
  <si>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</si>
  <si>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</si>
  <si>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</si>
  <si>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</si>
  <si>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</si>
  <si>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</si>
  <si>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</si>
  <si>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</si>
  <si>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</si>
  <si>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</si>
  <si>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</si>
  <si>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</si>
  <si>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</si>
  <si>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</si>
  <si>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</si>
  <si>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</si>
  <si>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</si>
  <si>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</si>
  <si>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</si>
  <si>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</si>
  <si>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</si>
  <si>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</si>
  <si>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</si>
  <si>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</si>
  <si>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</si>
  <si>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</si>
  <si>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</si>
  <si>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</si>
  <si>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</si>
  <si>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</si>
  <si>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</si>
  <si>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</si>
  <si>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</si>
  <si>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</si>
  <si>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</si>
  <si>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</si>
  <si>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</si>
  <si>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</si>
  <si>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</si>
  <si>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</si>
  <si>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</si>
  <si>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</si>
  <si>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</si>
  <si>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</si>
  <si>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</si>
  <si>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</si>
  <si>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</si>
  <si>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</si>
  <si>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</si>
  <si>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</si>
  <si>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</si>
  <si>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</si>
  <si>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</si>
  <si>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</si>
  <si>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</si>
  <si>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</si>
  <si>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</si>
  <si>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</si>
  <si>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</si>
  <si>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</si>
  <si>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</si>
  <si>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</si>
  <si>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</si>
  <si>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</si>
  <si>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</si>
  <si>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</si>
  <si>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</si>
  <si>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</si>
  <si>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</si>
  <si>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</si>
  <si>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</si>
  <si>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</si>
  <si>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</si>
  <si>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</si>
  <si>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</si>
  <si>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</si>
  <si>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</si>
  <si>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</si>
  <si>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</si>
  <si>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</si>
  <si>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</si>
  <si>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</si>
  <si>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</si>
  <si>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</si>
  <si>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</si>
  <si>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</si>
  <si>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</si>
  <si>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</si>
  <si>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</si>
  <si>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</si>
  <si>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</si>
  <si>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</si>
  <si>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</si>
  <si>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</si>
  <si>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</si>
  <si>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</si>
  <si>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</si>
  <si>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</si>
  <si>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</si>
  <si>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</si>
  <si>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</si>
  <si>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</si>
  <si>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</si>
  <si>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</si>
  <si>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</si>
  <si>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</si>
  <si>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</si>
  <si>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</si>
  <si>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</si>
  <si>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</si>
  <si>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</si>
  <si>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</si>
  <si>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</si>
  <si>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</si>
  <si>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</si>
  <si>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</si>
  <si>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</si>
  <si>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</si>
  <si>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</si>
  <si>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</si>
  <si>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</si>
  <si>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</si>
  <si>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</si>
  <si>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</si>
  <si>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</si>
  <si>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</si>
  <si>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</si>
  <si>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</si>
  <si>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</si>
  <si>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</si>
  <si>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</si>
  <si>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</si>
  <si>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</si>
  <si>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</si>
  <si>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</si>
  <si>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</si>
  <si>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</si>
  <si>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</si>
  <si>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</si>
  <si>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</si>
  <si>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</si>
  <si>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</si>
  <si>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</si>
  <si>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</si>
  <si>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</si>
  <si>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</si>
  <si>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</si>
  <si>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</si>
  <si>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</si>
  <si>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</si>
  <si>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</si>
  <si>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</si>
  <si>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</si>
  <si>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</si>
  <si>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</si>
  <si>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</si>
  <si>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</si>
  <si>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</si>
  <si>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</si>
  <si>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</si>
  <si>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</si>
  <si>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</si>
  <si>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</si>
  <si>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</si>
  <si>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</si>
  <si>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</si>
  <si>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</si>
  <si>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</si>
  <si>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</si>
  <si>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</si>
  <si>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</si>
  <si>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</si>
  <si>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</si>
  <si>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</si>
  <si>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</si>
  <si>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</si>
  <si>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</si>
  <si>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</si>
  <si>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</si>
  <si>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</si>
  <si>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</si>
  <si>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</si>
  <si>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</si>
  <si>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</si>
  <si>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</si>
  <si>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</si>
  <si>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</si>
  <si>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</si>
  <si>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</si>
  <si>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</si>
  <si>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</si>
  <si>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</si>
  <si>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</si>
  <si>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</si>
  <si>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</si>
  <si>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</si>
  <si>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</si>
  <si>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</si>
  <si>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</si>
  <si>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</si>
  <si>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</si>
  <si>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</si>
  <si>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</si>
  <si>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</si>
  <si>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</si>
  <si>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</si>
  <si>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</si>
  <si>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</si>
  <si>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</si>
  <si>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</si>
  <si>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</si>
  <si>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</si>
  <si>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</si>
  <si>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</si>
  <si>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</si>
  <si>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</si>
  <si>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</si>
  <si>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</si>
  <si>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</si>
  <si>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</si>
  <si>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</si>
  <si>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</si>
  <si>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</si>
  <si>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</si>
  <si>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</si>
  <si>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</si>
  <si>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</si>
  <si>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</si>
  <si>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</si>
  <si>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</si>
  <si>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</si>
  <si>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</si>
  <si>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</si>
  <si>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</si>
  <si>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</si>
  <si>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</si>
  <si>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</si>
  <si>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</si>
  <si>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</si>
  <si>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</si>
  <si>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</si>
  <si>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</si>
  <si>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</si>
  <si>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</si>
  <si>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</si>
  <si>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</si>
  <si>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</si>
  <si>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</si>
  <si>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</si>
  <si>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</si>
  <si>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</si>
  <si>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</si>
  <si>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</si>
  <si>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</si>
  <si>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</si>
  <si>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</si>
  <si>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</si>
  <si>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</si>
  <si>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</si>
  <si>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</si>
  <si>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</si>
  <si>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</si>
  <si>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</si>
  <si>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</si>
  <si>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</si>
  <si>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</si>
  <si>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</si>
  <si>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</si>
  <si>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</si>
  <si>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</si>
  <si>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</si>
  <si>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</si>
  <si>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</si>
  <si>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</si>
  <si>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</si>
  <si>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</si>
  <si>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</si>
  <si>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</si>
  <si>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</si>
  <si>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</si>
  <si>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</si>
  <si>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</si>
  <si>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</si>
  <si>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</si>
  <si>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</si>
  <si>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</si>
  <si>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</si>
  <si>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</si>
  <si>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</si>
  <si>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</si>
  <si>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</si>
  <si>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</si>
  <si>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</si>
  <si>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</si>
  <si>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</si>
  <si>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</si>
  <si>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</si>
  <si>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</si>
  <si>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</si>
  <si>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</si>
  <si>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</si>
  <si>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</si>
  <si>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</si>
  <si>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</si>
  <si>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</si>
  <si>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</si>
  <si>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</si>
  <si>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</si>
  <si>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</si>
  <si>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</si>
  <si>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</si>
  <si>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</si>
  <si>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</si>
  <si>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</si>
  <si>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</si>
  <si>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</si>
  <si>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</si>
  <si>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</si>
  <si>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</si>
  <si>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</si>
  <si>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</si>
  <si>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</si>
  <si>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</si>
  <si>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</si>
  <si>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</si>
  <si>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</si>
  <si>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</si>
  <si>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</si>
  <si>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</si>
  <si>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</si>
  <si>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</si>
  <si>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</si>
  <si>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</si>
  <si>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</si>
  <si>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</si>
  <si>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</si>
  <si>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</si>
  <si>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</si>
  <si>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</si>
  <si>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</si>
  <si>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</si>
  <si>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</si>
  <si>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</si>
  <si>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</si>
  <si>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</si>
  <si>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</si>
  <si>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</si>
  <si>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</si>
  <si>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</si>
  <si>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</si>
  <si>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</si>
  <si>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</si>
  <si>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</si>
  <si>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</si>
  <si>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</si>
  <si>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</si>
  <si>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</si>
  <si>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</si>
  <si>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</si>
  <si>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</si>
  <si>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</si>
  <si>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</si>
  <si>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</si>
  <si>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</si>
  <si>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</si>
  <si>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</si>
  <si>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</si>
  <si>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</si>
  <si>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</si>
  <si>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</si>
  <si>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</si>
  <si>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</si>
  <si>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</si>
  <si>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</si>
  <si>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</si>
  <si>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</si>
  <si>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</si>
  <si>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</si>
  <si>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</si>
  <si>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</si>
  <si>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</si>
  <si>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</si>
  <si>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</si>
  <si>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</si>
  <si>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</si>
  <si>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</si>
  <si>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</si>
  <si>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</si>
  <si>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</si>
  <si>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</si>
  <si>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</si>
  <si>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</si>
  <si>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</si>
  <si>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</si>
  <si>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</si>
  <si>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</si>
  <si>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</si>
  <si>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</si>
  <si>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</si>
  <si>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</si>
  <si>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</si>
  <si>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</si>
  <si>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</si>
  <si>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</si>
  <si>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</si>
  <si>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</si>
  <si>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</si>
  <si>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</si>
  <si>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</si>
  <si>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</si>
  <si>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</si>
  <si>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</si>
  <si>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</si>
  <si>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</si>
  <si>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</si>
  <si>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</si>
  <si>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</si>
  <si>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</si>
  <si>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</si>
  <si>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</si>
  <si>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</si>
  <si>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</si>
  <si>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</si>
  <si>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</si>
  <si>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</si>
  <si>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</si>
  <si>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</si>
  <si>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</si>
  <si>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</si>
  <si>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</si>
  <si>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</si>
  <si>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</si>
  <si>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</si>
  <si>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</si>
  <si>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</si>
  <si>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</si>
  <si>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</si>
  <si>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</si>
  <si>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</si>
  <si>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</si>
  <si>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</si>
  <si>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</si>
  <si>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</si>
  <si>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</si>
  <si>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</si>
  <si>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</si>
  <si>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</si>
  <si>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</si>
  <si>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</si>
  <si>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</si>
  <si>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</si>
  <si>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</si>
  <si>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</si>
  <si>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</si>
  <si>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</si>
  <si>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</si>
  <si>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</si>
  <si>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</si>
  <si>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</si>
  <si>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</si>
  <si>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</si>
  <si>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</si>
  <si>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</si>
  <si>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</si>
  <si>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</si>
  <si>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</si>
  <si>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</si>
  <si>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</si>
  <si>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</si>
  <si>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</si>
  <si>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</si>
  <si>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</si>
  <si>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</si>
  <si>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</si>
  <si>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</si>
  <si>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</si>
  <si>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</si>
  <si>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</si>
  <si>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</si>
  <si>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</si>
  <si>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</si>
  <si>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</si>
  <si>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</si>
  <si>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</si>
  <si>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</si>
  <si>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</si>
  <si>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</si>
  <si>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</si>
  <si>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</si>
  <si>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</si>
  <si>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</si>
  <si>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</si>
  <si>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</si>
  <si>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</si>
  <si>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</si>
  <si>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</si>
  <si>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</si>
  <si>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</si>
  <si>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</si>
  <si>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</si>
  <si>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</si>
  <si>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</si>
  <si>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</si>
  <si>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</si>
  <si>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</si>
  <si>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</si>
  <si>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</si>
  <si>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</si>
  <si>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</si>
  <si>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</si>
  <si>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</si>
  <si>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</si>
  <si>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</si>
  <si>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</si>
  <si>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</si>
  <si>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</si>
  <si>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</si>
  <si>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</si>
  <si>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</si>
  <si>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</si>
  <si>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</si>
  <si>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</si>
  <si>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</si>
  <si>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</si>
  <si>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</si>
  <si>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</si>
  <si>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</si>
  <si>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</si>
  <si>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</si>
  <si>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</si>
  <si>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</si>
  <si>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</si>
  <si>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</si>
  <si>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</si>
  <si>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</si>
  <si>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</si>
  <si>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</si>
  <si>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</si>
  <si>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</si>
  <si>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</si>
  <si>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</si>
  <si>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</si>
  <si>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</si>
  <si>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</si>
  <si>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</si>
  <si>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</si>
  <si>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</si>
  <si>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</si>
  <si>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</si>
  <si>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</si>
  <si>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</si>
  <si>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</si>
  <si>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</si>
  <si>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</si>
  <si>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</si>
  <si>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</si>
  <si>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</si>
  <si>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</si>
  <si>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</si>
  <si>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</si>
  <si>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</si>
  <si>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</si>
  <si>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</si>
  <si>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</si>
  <si>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</si>
  <si>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</si>
  <si>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</si>
  <si>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</si>
  <si>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</si>
  <si>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</si>
  <si>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</si>
  <si>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</si>
  <si>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</si>
  <si>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</si>
  <si>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</si>
  <si>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</si>
  <si>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</si>
  <si>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</si>
  <si>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</si>
  <si>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</si>
  <si>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</si>
  <si>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</si>
  <si>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</si>
  <si>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</si>
  <si>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</si>
  <si>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</si>
  <si>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</si>
  <si>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</si>
  <si>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</si>
  <si>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</si>
  <si>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</si>
  <si>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</si>
  <si>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</si>
  <si>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</si>
  <si>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</si>
  <si>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</si>
  <si>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</si>
  <si>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</si>
  <si>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</si>
  <si>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</si>
  <si>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</si>
  <si>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</si>
  <si>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</si>
  <si>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</si>
  <si>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</si>
  <si>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</si>
  <si>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</si>
  <si>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</si>
  <si>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</si>
  <si>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</si>
  <si>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</si>
  <si>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</si>
  <si>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</si>
  <si>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</si>
  <si>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</si>
  <si>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</si>
  <si>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</si>
  <si>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</si>
  <si>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</si>
  <si>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</si>
  <si>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</si>
  <si>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</si>
  <si>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</si>
  <si>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</si>
  <si>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</si>
  <si>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</si>
  <si>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</si>
  <si>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</si>
  <si>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</si>
  <si>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</si>
  <si>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</si>
  <si>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</si>
  <si>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</si>
  <si>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</si>
  <si>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</si>
  <si>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</si>
  <si>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</si>
  <si>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</si>
  <si>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</si>
  <si>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</si>
  <si>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</si>
  <si>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</si>
  <si>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</si>
  <si>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</si>
  <si>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</si>
  <si>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</si>
  <si>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</si>
  <si>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</si>
  <si>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</si>
  <si>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</si>
  <si>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</si>
  <si>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</si>
  <si>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</si>
  <si>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</si>
  <si>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</si>
  <si>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</si>
  <si>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</si>
  <si>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</si>
  <si>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</si>
  <si>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</si>
  <si>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</si>
  <si>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</si>
  <si>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</si>
  <si>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</si>
  <si>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</si>
  <si>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</si>
  <si>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</si>
  <si>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</si>
  <si>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</si>
  <si>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</si>
  <si>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</si>
  <si>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</si>
  <si>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</si>
  <si>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</si>
  <si>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</si>
  <si>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</si>
  <si>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</si>
  <si>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</si>
  <si>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</si>
  <si>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</si>
  <si>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</si>
  <si>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</si>
  <si>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</si>
  <si>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</si>
  <si>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</si>
  <si>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</si>
  <si>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</si>
  <si>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</si>
  <si>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</si>
  <si>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</si>
  <si>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</si>
  <si>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</si>
  <si>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</si>
  <si>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</si>
  <si>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</si>
  <si>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</si>
  <si>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</si>
  <si>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</si>
  <si>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</si>
  <si>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</si>
  <si>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</si>
  <si>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</si>
  <si>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</si>
  <si>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</si>
  <si>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</si>
  <si>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</si>
  <si>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</si>
  <si>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</si>
  <si>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</si>
  <si>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</si>
  <si>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</si>
  <si>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</si>
  <si>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</si>
  <si>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</si>
  <si>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</si>
  <si>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</si>
  <si>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</si>
  <si>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</si>
  <si>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</si>
  <si>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</si>
  <si>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</si>
  <si>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</si>
  <si>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</si>
  <si>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</si>
  <si>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</si>
  <si>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</si>
  <si>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</si>
  <si>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</si>
  <si>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</si>
  <si>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</si>
  <si>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</si>
  <si>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</si>
  <si>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</si>
  <si>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</si>
  <si>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</si>
  <si>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</si>
  <si>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</si>
  <si>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</si>
  <si>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</si>
  <si>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</si>
  <si>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</si>
  <si>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</si>
  <si>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</si>
  <si>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</si>
  <si>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</si>
  <si>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</si>
  <si>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</si>
  <si>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</si>
  <si>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</si>
  <si>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</si>
  <si>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</si>
  <si>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</si>
  <si>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</si>
  <si>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</si>
  <si>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</si>
  <si>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</si>
  <si>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</si>
  <si>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</si>
  <si>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</si>
  <si>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</si>
  <si>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</si>
  <si>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</si>
  <si>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</si>
  <si>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</si>
  <si>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</si>
  <si>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</si>
  <si>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</si>
  <si>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</si>
  <si>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</si>
  <si>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</si>
  <si>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</si>
  <si>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</si>
  <si>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</si>
  <si>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</si>
  <si>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</si>
  <si>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</si>
  <si>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</si>
  <si>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</si>
  <si>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</si>
  <si>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</si>
  <si>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</si>
  <si>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</si>
  <si>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</si>
  <si>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</si>
  <si>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</si>
  <si>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</si>
  <si>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</si>
  <si>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</si>
  <si>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</si>
  <si>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</si>
  <si>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</si>
  <si>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</si>
  <si>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</si>
  <si>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</si>
  <si>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</si>
  <si>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</si>
  <si>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</si>
  <si>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</si>
  <si>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</si>
  <si>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</si>
  <si>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</si>
  <si>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</si>
  <si>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</si>
  <si>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</si>
  <si>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</si>
  <si>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</si>
  <si>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</si>
  <si>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</si>
  <si>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</si>
  <si>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</si>
  <si>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</si>
  <si>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</si>
  <si>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</si>
  <si>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</si>
  <si>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</si>
  <si>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</si>
  <si>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</si>
  <si>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</si>
  <si>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</si>
  <si>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</si>
  <si>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</si>
  <si>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</si>
  <si>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</si>
  <si>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</si>
  <si>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</si>
  <si>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</si>
  <si>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</si>
  <si>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</si>
  <si>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</si>
  <si>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</si>
  <si>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</si>
  <si>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</si>
  <si>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</si>
  <si>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</si>
  <si>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</si>
  <si>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</si>
  <si>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</si>
  <si>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</si>
  <si>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</si>
  <si>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</si>
  <si>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</si>
  <si>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</si>
  <si>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</si>
  <si>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</si>
  <si>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</si>
  <si>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</si>
  <si>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</si>
  <si>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</si>
  <si>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</si>
  <si>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</si>
  <si>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</si>
  <si>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</si>
  <si>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</si>
  <si>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</si>
  <si>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</si>
  <si>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</si>
  <si>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</si>
  <si>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</si>
  <si>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</si>
  <si>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</si>
  <si>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</si>
  <si>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</si>
  <si>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</si>
  <si>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</si>
  <si>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</si>
  <si>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</si>
  <si>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</si>
  <si>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</si>
  <si>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</si>
  <si>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</si>
  <si>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</si>
  <si>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</si>
  <si>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</si>
  <si>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</si>
  <si>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</si>
  <si>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</si>
  <si>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</si>
  <si>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</si>
  <si>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</si>
  <si>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</si>
  <si>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</si>
  <si>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</si>
  <si>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</si>
  <si>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</si>
  <si>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</si>
  <si>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</si>
  <si>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</si>
  <si>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</si>
  <si>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</si>
  <si>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</si>
  <si>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</si>
  <si>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</si>
  <si>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</si>
  <si>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</si>
  <si>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</si>
  <si>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</si>
  <si>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</si>
  <si>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</si>
  <si>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</si>
  <si>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</si>
  <si>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</si>
  <si>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</si>
  <si>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</si>
  <si>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</si>
  <si>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</si>
  <si>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</si>
  <si>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</si>
  <si>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</si>
  <si>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</si>
  <si>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</si>
  <si>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</si>
  <si>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</si>
  <si>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</si>
  <si>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</si>
  <si>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</si>
  <si>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</si>
  <si>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</si>
  <si>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</si>
  <si>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</si>
  <si>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</si>
  <si>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</si>
  <si>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</si>
  <si>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</si>
  <si>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</si>
  <si>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</si>
  <si>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</si>
  <si>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</si>
  <si>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</si>
  <si>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</si>
  <si>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</si>
  <si>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</si>
  <si>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</si>
  <si>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</si>
  <si>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</si>
  <si>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</si>
  <si>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</si>
  <si>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</si>
  <si>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</si>
  <si>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</si>
  <si>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</si>
  <si>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</si>
  <si>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</si>
  <si>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</si>
  <si>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</si>
  <si>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</si>
  <si>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</si>
  <si>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</si>
  <si>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</si>
  <si>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</si>
  <si>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</si>
  <si>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</si>
  <si>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</si>
  <si>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</si>
  <si>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</si>
  <si>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</si>
  <si>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</si>
  <si>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</si>
  <si>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</si>
  <si>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</si>
  <si>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</si>
  <si>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</si>
  <si>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</si>
  <si>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</si>
  <si>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</si>
  <si>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</si>
  <si>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</si>
  <si>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</si>
  <si>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</si>
  <si>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</si>
  <si>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</si>
  <si>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</si>
  <si>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</si>
  <si>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</si>
  <si>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</si>
  <si>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</si>
  <si>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</si>
  <si>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</si>
  <si>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</si>
  <si>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</si>
  <si>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</si>
  <si>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</si>
  <si>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</si>
  <si>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</si>
  <si>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</si>
  <si>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</si>
  <si>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</si>
  <si>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</si>
  <si>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</si>
  <si>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</si>
  <si>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</si>
  <si>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</si>
  <si>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</si>
  <si>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</si>
  <si>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</si>
  <si>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</si>
  <si>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</si>
  <si>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</si>
  <si>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</si>
  <si>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</si>
  <si>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</si>
  <si>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</si>
  <si>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</si>
  <si>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</si>
  <si>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</si>
  <si>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</si>
  <si>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</si>
  <si>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</si>
  <si>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</si>
  <si>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</si>
  <si>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</si>
  <si>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</si>
  <si>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</si>
  <si>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</si>
  <si>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</si>
  <si>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</si>
  <si>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</si>
  <si>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</si>
  <si>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</si>
  <si>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</si>
  <si>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</si>
  <si>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</si>
  <si>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</si>
  <si>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</si>
  <si>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</si>
  <si>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</si>
  <si>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</si>
  <si>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</si>
  <si>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</si>
  <si>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</si>
  <si>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</si>
  <si>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</si>
  <si>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</si>
  <si>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</si>
  <si>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</si>
  <si>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</si>
  <si>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</si>
  <si>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</si>
  <si>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</si>
  <si>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</si>
  <si>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</si>
  <si>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</si>
  <si>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</si>
  <si>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</si>
  <si>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</si>
  <si>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</si>
  <si>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</si>
  <si>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</si>
  <si>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</si>
  <si>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</si>
  <si>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</si>
  <si>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</si>
  <si>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</si>
  <si>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</si>
  <si>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</si>
  <si>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</si>
  <si>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</si>
  <si>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</si>
  <si>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</si>
  <si>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</si>
  <si>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</si>
  <si>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</si>
  <si>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</si>
  <si>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</si>
  <si>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</si>
  <si>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</si>
  <si>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</si>
  <si>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</si>
  <si>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</si>
  <si>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</si>
  <si>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</si>
  <si>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</si>
  <si>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</si>
  <si>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</si>
  <si>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</si>
  <si>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</si>
  <si>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</si>
  <si>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</si>
  <si>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</si>
  <si>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</si>
  <si>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</si>
  <si>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</si>
  <si>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</si>
  <si>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</si>
  <si>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</si>
  <si>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</si>
  <si>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</si>
  <si>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</si>
  <si>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</si>
  <si>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</si>
  <si>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</si>
  <si>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</si>
  <si>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</si>
  <si>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</si>
  <si>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</si>
  <si>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</si>
  <si>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</si>
  <si>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</si>
  <si>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</si>
  <si>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</si>
  <si>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</si>
  <si>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</si>
  <si>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</si>
  <si>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</si>
  <si>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</si>
  <si>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</si>
  <si>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</si>
  <si>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</si>
  <si>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</si>
  <si>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</si>
  <si>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</si>
  <si>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</si>
  <si>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</si>
  <si>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</si>
  <si>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</si>
  <si>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</si>
  <si>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</si>
  <si>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</si>
  <si>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</si>
  <si>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</si>
  <si>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</si>
  <si>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</si>
  <si>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</si>
  <si>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</si>
  <si>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</si>
  <si>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</si>
  <si>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</si>
  <si>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</si>
  <si>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</si>
  <si>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</si>
  <si>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</si>
  <si>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</si>
  <si>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</si>
  <si>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</si>
  <si>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</si>
  <si>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</si>
  <si>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</si>
  <si>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</si>
  <si>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</si>
  <si>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</si>
  <si>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</si>
  <si>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</si>
  <si>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</si>
  <si>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</si>
  <si>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</si>
  <si>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</si>
  <si>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</si>
  <si>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</si>
  <si>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</si>
  <si>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</si>
  <si>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</si>
  <si>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</si>
  <si>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</si>
  <si>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</si>
  <si>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</si>
  <si>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</si>
  <si>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</si>
  <si>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</si>
  <si>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</si>
  <si>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</si>
  <si>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</si>
  <si>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</si>
  <si>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</si>
  <si>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</si>
  <si>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</si>
  <si>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</si>
  <si>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</si>
  <si>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</si>
  <si>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</si>
  <si>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</si>
  <si>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</si>
  <si>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</si>
  <si>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</si>
  <si>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</si>
  <si>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</si>
  <si>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</si>
  <si>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</si>
  <si>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</si>
  <si>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</si>
  <si>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</si>
  <si>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</si>
  <si>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</si>
  <si>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</si>
  <si>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</si>
  <si>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</si>
  <si>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</si>
  <si>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</si>
  <si>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</si>
  <si>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</si>
  <si>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</si>
  <si>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</si>
  <si>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</si>
  <si>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</si>
  <si>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</si>
  <si>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</si>
  <si>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</si>
  <si>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</si>
  <si>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</si>
  <si>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</si>
  <si>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</si>
  <si>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</si>
  <si>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</si>
  <si>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</si>
  <si>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</si>
  <si>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</si>
  <si>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</si>
  <si>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</si>
  <si>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</si>
  <si>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</si>
  <si>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</si>
  <si>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</si>
  <si>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</si>
  <si>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</si>
  <si>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</si>
  <si>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</si>
  <si>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</si>
  <si>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</si>
  <si>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</si>
  <si>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</si>
  <si>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</si>
  <si>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</si>
  <si>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</si>
  <si>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</si>
  <si>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</si>
  <si>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</si>
  <si>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</si>
  <si>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</si>
  <si>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</si>
  <si>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</si>
  <si>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</si>
  <si>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</si>
  <si>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</si>
  <si>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</si>
  <si>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</si>
  <si>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</si>
  <si>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</si>
  <si>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</si>
  <si>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</si>
  <si>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</si>
  <si>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</si>
  <si>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</si>
  <si>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</si>
  <si>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</si>
  <si>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</si>
  <si>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</si>
  <si>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</si>
  <si>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</si>
  <si>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</si>
  <si>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</si>
  <si>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</si>
  <si>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</si>
  <si>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</si>
  <si>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</si>
  <si>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</si>
  <si>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</si>
  <si>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</si>
  <si>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</si>
  <si>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</si>
  <si>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</si>
  <si>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</si>
  <si>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</si>
  <si>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</si>
  <si>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</si>
  <si>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</si>
  <si>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</si>
  <si>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</si>
  <si>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</si>
  <si>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</si>
  <si>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</si>
  <si>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</si>
  <si>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</si>
  <si>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</si>
  <si>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</si>
  <si>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</si>
  <si>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</si>
  <si>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</si>
  <si>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</si>
  <si>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</si>
  <si>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</si>
  <si>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</si>
  <si>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</si>
  <si>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</si>
  <si>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</si>
  <si>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</si>
  <si>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</si>
  <si>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</si>
  <si>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</si>
  <si>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</si>
  <si>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</si>
  <si>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</si>
  <si>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</si>
  <si>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</si>
  <si>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</si>
  <si>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</si>
  <si>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</si>
  <si>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</si>
  <si>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</si>
  <si>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</si>
  <si>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</si>
  <si>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</si>
  <si>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</si>
  <si>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</si>
  <si>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</si>
  <si>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</si>
  <si>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</si>
  <si>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</si>
  <si>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</si>
  <si>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</si>
  <si>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</si>
  <si>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</si>
  <si>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</si>
  <si>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</si>
  <si>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</si>
  <si>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</si>
  <si>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</si>
  <si>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</si>
  <si>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</si>
  <si>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</si>
  <si>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</si>
  <si>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</si>
  <si>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</si>
  <si>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</si>
  <si>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</si>
  <si>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</si>
  <si>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</si>
  <si>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</si>
  <si>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</si>
  <si>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</si>
  <si>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</si>
  <si>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</si>
  <si>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</si>
  <si>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</si>
  <si>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</si>
  <si>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</si>
  <si>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</si>
  <si>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</si>
  <si>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</si>
  <si>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</si>
  <si>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</si>
  <si>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</si>
  <si>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</si>
  <si>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</si>
  <si>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</si>
  <si>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</si>
  <si>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</si>
  <si>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</si>
  <si>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</si>
  <si>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</si>
  <si>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</si>
  <si>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</si>
  <si>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</si>
  <si>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</si>
  <si>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</si>
  <si>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</si>
  <si>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</si>
  <si>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</si>
  <si>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</si>
  <si>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</si>
  <si>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</si>
  <si>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</si>
  <si>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</si>
  <si>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</si>
  <si>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</si>
  <si>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</si>
  <si>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</si>
  <si>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</si>
  <si>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</si>
  <si>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</si>
  <si>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</si>
  <si>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</si>
  <si>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</si>
  <si>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</si>
  <si>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</si>
  <si>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</si>
  <si>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</si>
  <si>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</si>
  <si>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</si>
  <si>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</si>
  <si>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</si>
  <si>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</si>
  <si>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</si>
  <si>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</si>
  <si>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</si>
  <si>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</si>
  <si>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</si>
  <si>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</si>
  <si>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</si>
  <si>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</si>
  <si>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</si>
  <si>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</si>
  <si>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</si>
  <si>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</si>
  <si>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</si>
  <si>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</si>
  <si>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</si>
  <si>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</si>
  <si>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</si>
  <si>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</si>
  <si>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</si>
  <si>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</si>
  <si>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</si>
  <si>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</si>
  <si>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</si>
  <si>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</si>
  <si>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</si>
  <si>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PACIFIC TRANSFORMER CORP</t>
  </si>
  <si>
    <t>MANUFACTURER OF TRANSFORMERS AND INDUCTORS</t>
  </si>
  <si>
    <t>05-875-0654(3A1)</t>
  </si>
  <si>
    <t>DUNS</t>
  </si>
  <si>
    <t>5399 E. HUNTER AVE, ANAHEIM, CA, 91709, USA</t>
  </si>
  <si>
    <t>SEAN MCDOUGALL</t>
  </si>
  <si>
    <t>SEAN@PACTRAN.COM</t>
  </si>
  <si>
    <t>714-779-0450</t>
  </si>
  <si>
    <t>PATRICK THOMAS</t>
  </si>
  <si>
    <t>PRESIDENT</t>
  </si>
  <si>
    <t>pthomas@pactran.com</t>
  </si>
  <si>
    <t>8003250501</t>
  </si>
  <si>
    <t>100%</t>
  </si>
  <si>
    <t>https://www.pactran.com/about/quality-assurance-2/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</si>
</sst>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00" fillId="33" borderId="58" xfId="487" applyNumberFormat="1" applyFon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xf numFmtId="49" fontId="85" fillId="33" borderId="58" xfId="487" applyNumberFormat="1" applyFont="1" applyFill="1" applyBorder="1" applyAlignment="1" applyProtection="1">
      <alignment horizontal="left" vertical="center" wrapText="1"/>
      <protection locked="0"/>
    </xf>
    <xf numFmtId="0" fontId="0" fillId="0" borderId="19" xfId="0" applyBorder="1" applyAlignment="1" applyProtection="1">
      <alignment vertical="center"/>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thomas@pactra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pactran.com/about/quality-assurance-2/"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4"/>
  <cols>
    <col min="1" max="1" width="0.87890625" customWidth="1"/>
    <col min="2" max="2" width="8" customWidth="1"/>
    <col min="3" max="3" width="8.64453125" customWidth="1"/>
    <col min="4" max="4" width="13" style="180" customWidth="1"/>
    <col min="5" max="5" width="42.3515625" customWidth="1"/>
    <col min="6" max="6" width="53.3515625" customWidth="1"/>
    <col min="7" max="7" width="0.87890625" customWidth="1"/>
  </cols>
  <sheetData>
    <row r="1" spans="1:7" ht="12.7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2.75">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25">
      <c r="A13" s="293"/>
      <c r="B13" s="2">
        <v>1</v>
      </c>
      <c r="C13" s="27" t="s">
        <v>1084</v>
      </c>
      <c r="D13" s="28" t="s">
        <v>872</v>
      </c>
      <c r="E13" s="163" t="s">
        <v>849</v>
      </c>
      <c r="F13" s="163"/>
      <c r="G13" s="25"/>
    </row>
    <row r="14" spans="1:7" ht="30.4">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07.65">
      <c r="A36" s="293"/>
      <c r="B36" s="310"/>
      <c r="C36" s="301"/>
      <c r="D36" s="307"/>
      <c r="E36" s="304"/>
      <c r="F36" s="166" t="s">
        <v>69</v>
      </c>
      <c r="G36" s="25"/>
    </row>
    <row r="37" spans="1:7" ht="101.25">
      <c r="A37" s="293"/>
      <c r="B37" s="141">
        <v>3.01</v>
      </c>
      <c r="C37" s="142" t="s">
        <v>70</v>
      </c>
      <c r="D37" s="28" t="s">
        <v>2251</v>
      </c>
      <c r="E37" s="167" t="s">
        <v>1323</v>
      </c>
      <c r="F37" s="168" t="s">
        <v>1427</v>
      </c>
      <c r="G37" s="25"/>
    </row>
    <row r="38" spans="1:7" ht="81">
      <c r="A38" s="293"/>
      <c r="B38" s="141">
        <v>3.02</v>
      </c>
      <c r="C38" s="142" t="s">
        <v>1356</v>
      </c>
      <c r="D38" s="28" t="s">
        <v>2252</v>
      </c>
      <c r="E38" s="167" t="s">
        <v>1371</v>
      </c>
      <c r="F38" s="168" t="s">
        <v>1428</v>
      </c>
      <c r="G38" s="25"/>
    </row>
    <row r="39" spans="1:7" ht="81">
      <c r="A39" s="293"/>
      <c r="B39" s="150">
        <v>4</v>
      </c>
      <c r="C39" s="149" t="s">
        <v>1524</v>
      </c>
      <c r="D39" s="28" t="s">
        <v>2253</v>
      </c>
      <c r="E39" s="27" t="s">
        <v>2198</v>
      </c>
      <c r="F39" s="27" t="s">
        <v>1525</v>
      </c>
      <c r="G39" s="25"/>
    </row>
    <row r="40" spans="1:7" ht="40.5">
      <c r="A40" s="293"/>
      <c r="B40" s="141">
        <v>4.01</v>
      </c>
      <c r="C40" s="149" t="s">
        <v>1524</v>
      </c>
      <c r="D40" s="28" t="s">
        <v>2255</v>
      </c>
      <c r="E40" s="27" t="s">
        <v>2210</v>
      </c>
      <c r="F40" s="27" t="s">
        <v>2214</v>
      </c>
      <c r="G40" s="25"/>
    </row>
    <row r="41" spans="1:7" ht="40.5">
      <c r="A41" s="293"/>
      <c r="B41" s="141" t="s">
        <v>2242</v>
      </c>
      <c r="C41" s="149" t="s">
        <v>1524</v>
      </c>
      <c r="D41" s="28" t="s">
        <v>2254</v>
      </c>
      <c r="E41" s="27" t="s">
        <v>2245</v>
      </c>
      <c r="F41" s="27" t="s">
        <v>2243</v>
      </c>
      <c r="G41" s="25"/>
    </row>
    <row r="42" spans="1:7" ht="40.5">
      <c r="A42" s="293"/>
      <c r="B42" s="141" t="s">
        <v>2276</v>
      </c>
      <c r="C42" s="149" t="s">
        <v>1524</v>
      </c>
      <c r="D42" s="28" t="s">
        <v>2281</v>
      </c>
      <c r="E42" s="27" t="s">
        <v>2244</v>
      </c>
      <c r="F42" s="27" t="s">
        <v>2277</v>
      </c>
      <c r="G42" s="25"/>
    </row>
    <row r="43" spans="1:7" ht="111.4">
      <c r="A43" s="293"/>
      <c r="B43" s="160">
        <v>4.0999999999999996</v>
      </c>
      <c r="C43" s="149" t="s">
        <v>2280</v>
      </c>
      <c r="D43" s="161">
        <v>42867</v>
      </c>
      <c r="E43" s="169" t="s">
        <v>2283</v>
      </c>
      <c r="F43" s="27" t="s">
        <v>2282</v>
      </c>
      <c r="G43" s="25"/>
    </row>
    <row r="44" spans="1:7" ht="70.900000000000006">
      <c r="A44" s="293"/>
      <c r="B44" s="160">
        <v>4.2</v>
      </c>
      <c r="C44" s="149" t="s">
        <v>2280</v>
      </c>
      <c r="D44" s="161">
        <v>42704</v>
      </c>
      <c r="E44" s="169" t="s">
        <v>2479</v>
      </c>
      <c r="F44" s="27" t="s">
        <v>2454</v>
      </c>
      <c r="G44" s="25"/>
    </row>
    <row r="45" spans="1:7" ht="131.65">
      <c r="A45" s="293"/>
      <c r="B45" s="202">
        <v>5</v>
      </c>
      <c r="C45" s="149" t="s">
        <v>2280</v>
      </c>
      <c r="D45" s="161">
        <v>42867</v>
      </c>
      <c r="E45" s="169" t="s">
        <v>12705</v>
      </c>
      <c r="F45" s="27" t="s">
        <v>12427</v>
      </c>
      <c r="G45" s="25"/>
    </row>
    <row r="46" spans="1:7" ht="30.4">
      <c r="A46" s="293"/>
      <c r="B46" s="160">
        <v>5.01</v>
      </c>
      <c r="C46" s="149" t="s">
        <v>2280</v>
      </c>
      <c r="D46" s="161">
        <v>42907</v>
      </c>
      <c r="E46" s="169" t="s">
        <v>15521</v>
      </c>
      <c r="F46" s="27" t="s">
        <v>12427</v>
      </c>
      <c r="G46" s="25"/>
    </row>
    <row r="47" spans="1:7" ht="60.75">
      <c r="A47" s="293"/>
      <c r="B47" s="160">
        <v>5.0999999999999996</v>
      </c>
      <c r="C47" s="149" t="s">
        <v>2280</v>
      </c>
      <c r="D47" s="161">
        <v>43070</v>
      </c>
      <c r="E47" s="169" t="s">
        <v>12915</v>
      </c>
      <c r="F47" s="27" t="s">
        <v>12916</v>
      </c>
      <c r="G47" s="25"/>
    </row>
    <row r="48" spans="1:7" ht="50.65">
      <c r="A48" s="293"/>
      <c r="B48" s="160">
        <v>5.1100000000000003</v>
      </c>
      <c r="C48" s="149" t="s">
        <v>13152</v>
      </c>
      <c r="D48" s="161">
        <v>43217</v>
      </c>
      <c r="E48" s="169" t="s">
        <v>13278</v>
      </c>
      <c r="F48" s="27" t="s">
        <v>13186</v>
      </c>
      <c r="G48" s="25"/>
    </row>
    <row r="49" spans="1:7" ht="50.65">
      <c r="A49" s="293"/>
      <c r="B49" s="160">
        <v>5.12</v>
      </c>
      <c r="C49" s="149" t="s">
        <v>13152</v>
      </c>
      <c r="D49" s="161">
        <v>43581</v>
      </c>
      <c r="E49" s="169" t="s">
        <v>13278</v>
      </c>
      <c r="F49" s="27" t="s">
        <v>13832</v>
      </c>
      <c r="G49" s="25"/>
    </row>
    <row r="50" spans="1:7" ht="70.900000000000006">
      <c r="A50" s="293"/>
      <c r="B50" s="202">
        <v>6</v>
      </c>
      <c r="C50" s="149" t="s">
        <v>13152</v>
      </c>
      <c r="D50" s="161">
        <v>43964</v>
      </c>
      <c r="E50" s="169" t="s">
        <v>14048</v>
      </c>
      <c r="F50" s="27" t="s">
        <v>13835</v>
      </c>
      <c r="G50" s="25"/>
    </row>
    <row r="51" spans="1:7" ht="40.5">
      <c r="A51" s="293"/>
      <c r="B51" s="160">
        <v>6.01</v>
      </c>
      <c r="C51" s="149" t="s">
        <v>13152</v>
      </c>
      <c r="D51" s="161">
        <v>43970</v>
      </c>
      <c r="E51" s="169" t="s">
        <v>15522</v>
      </c>
      <c r="F51" s="169" t="s">
        <v>13835</v>
      </c>
      <c r="G51" s="25"/>
    </row>
    <row r="52" spans="1:7" ht="40.5">
      <c r="A52" s="293"/>
      <c r="B52" s="160">
        <v>6.1</v>
      </c>
      <c r="C52" s="149" t="s">
        <v>13152</v>
      </c>
      <c r="D52" s="161">
        <v>44314</v>
      </c>
      <c r="E52" s="169" t="s">
        <v>15514</v>
      </c>
      <c r="F52" s="169" t="s">
        <v>15043</v>
      </c>
      <c r="G52" s="25"/>
    </row>
    <row r="53" spans="1:7" ht="40.5">
      <c r="A53" s="293"/>
      <c r="B53" s="160">
        <v>6.2</v>
      </c>
      <c r="C53" s="149" t="s">
        <v>13152</v>
      </c>
      <c r="D53" s="161">
        <v>44678</v>
      </c>
      <c r="E53" s="169" t="s">
        <v>15514</v>
      </c>
      <c r="F53" s="169" t="s">
        <v>15513</v>
      </c>
      <c r="G53" s="25"/>
    </row>
    <row r="54" spans="1:7" ht="40.5">
      <c r="A54" s="293"/>
      <c r="B54" s="160">
        <v>6.21</v>
      </c>
      <c r="C54" s="149" t="s">
        <v>13152</v>
      </c>
      <c r="D54" s="161">
        <v>44687</v>
      </c>
      <c r="E54" s="169" t="s">
        <v>15523</v>
      </c>
      <c r="F54" s="169" t="s">
        <v>15513</v>
      </c>
      <c r="G54" s="25"/>
    </row>
    <row r="55" spans="1:7" ht="40.5">
      <c r="A55" s="293"/>
      <c r="B55" s="160">
        <v>6.22</v>
      </c>
      <c r="C55" s="149" t="s">
        <v>13152</v>
      </c>
      <c r="D55" s="275">
        <v>44692</v>
      </c>
      <c r="E55" s="169" t="s">
        <v>15522</v>
      </c>
      <c r="F55" s="169" t="s">
        <v>15513</v>
      </c>
      <c r="G55" s="25"/>
    </row>
    <row r="56" spans="1:7" ht="50.65">
      <c r="A56" s="293"/>
      <c r="B56" s="202">
        <v>6.3</v>
      </c>
      <c r="C56" s="149" t="s">
        <v>13152</v>
      </c>
      <c r="D56" s="275">
        <v>45051</v>
      </c>
      <c r="E56" s="169" t="s">
        <v>15790</v>
      </c>
      <c r="F56" s="169" t="s">
        <v>15571</v>
      </c>
      <c r="G56" s="25"/>
    </row>
    <row r="57" spans="1:7" ht="40.5">
      <c r="A57" s="293"/>
      <c r="B57" s="160">
        <v>6.31</v>
      </c>
      <c r="C57" s="149" t="s">
        <v>13152</v>
      </c>
      <c r="D57" s="275">
        <v>45072</v>
      </c>
      <c r="E57" s="169" t="s">
        <v>15792</v>
      </c>
      <c r="F57" s="169" t="s">
        <v>15571</v>
      </c>
      <c r="G57" s="25"/>
    </row>
    <row r="58" spans="1:7" ht="12.75" thickBot="1">
      <c r="A58" s="294"/>
      <c r="B58" s="295" t="str">
        <f ca="1">OFFSET(L!$C$1,MATCH("General"&amp;"Cpy",L!$A:$A,0)-1,SL,,)</f>
        <v>© 2023 Responsible Minerals Initiative. All rights reserved.</v>
      </c>
      <c r="C58" s="295"/>
      <c r="D58" s="295"/>
      <c r="E58" s="295"/>
      <c r="F58" s="295"/>
      <c r="G58" s="26"/>
    </row>
    <row r="59" spans="1:7" ht="12.7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890625" defaultRowHeight="12.4"/>
  <cols>
    <col min="1" max="1" width="20.64453125" style="65" customWidth="1"/>
    <col min="2" max="2" width="57.1171875" style="65" customWidth="1"/>
    <col min="3" max="16384" width="8.87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890625" defaultRowHeight="12.4"/>
  <cols>
    <col min="1" max="1" width="11.1171875" customWidth="1"/>
    <col min="2" max="2" width="25.76171875" customWidth="1"/>
    <col min="3" max="3" width="11.878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8906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29.25">
      <c r="A2" s="105" t="str">
        <f ca="1">OFFSET(L!$C$1,MATCH("Instructions"&amp;ADDRESS(ROW(),COLUMN(),4),L!$A:$A,0)-1,SL,,)</f>
        <v>Introduction</v>
      </c>
      <c r="B2" s="100" t="s">
        <v>1299</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4.65">
      <c r="A5" s="106"/>
      <c r="B5" s="100"/>
    </row>
    <row r="6" spans="1:2" ht="29.25">
      <c r="A6" s="105" t="str">
        <f ca="1">OFFSET(L!$C$1,MATCH("Instructions"&amp;ADDRESS(ROW(),COLUMN(),4),L!$A:$A,0)-1,SL,,)</f>
        <v>Instructions for completing Company Information questions (rows 8 - 22).
Provide comments in ENGLISH only</v>
      </c>
      <c r="B6" s="100" t="s">
        <v>1299</v>
      </c>
    </row>
    <row r="7" spans="1:2" ht="14.65">
      <c r="A7" s="237"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1299</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29.25">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4.65">
      <c r="A47" s="106"/>
      <c r="B47" s="100"/>
    </row>
    <row r="48" spans="1:2" ht="29.25">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58.5">
      <c r="A58" s="102" t="str">
        <f ca="1">OFFSET(L!$C$1,MATCH("Instructions"&amp;ADDRESS(ROW(),COLUMN(),4),L!$A:$A,0)-1,SL,,)</f>
        <v>8. Smelter Street -  Provide the street name on which the smelter is located. This field is optional.</v>
      </c>
      <c r="B58" s="100" t="s">
        <v>1298</v>
      </c>
    </row>
    <row r="59" spans="1:2" ht="29.25">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3.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29.25">
      <c r="A74" s="102"/>
      <c r="B74" s="100" t="s">
        <v>441</v>
      </c>
    </row>
    <row r="75" spans="1:2" ht="14.65">
      <c r="A75" s="102" t="str">
        <f ca="1">OFFSET(L!$C$1,MATCH("General"&amp;"Cpy",L!$A:$A,0)-1,SL,,)</f>
        <v>© 2023 Responsible Minerals Initiative. All rights reserved.</v>
      </c>
      <c r="B75" s="101"/>
    </row>
    <row r="76" spans="1:2" ht="14.65">
      <c r="A76" s="103" t="s">
        <v>1031</v>
      </c>
      <c r="B76" s="101"/>
    </row>
    <row r="77" spans="1:2" ht="1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890625" defaultRowHeight="12.4"/>
  <cols>
    <col min="1" max="1" width="1.64453125" customWidth="1"/>
    <col min="2" max="2" width="35.64453125" customWidth="1"/>
    <col min="3" max="3" width="105.64453125" customWidth="1"/>
    <col min="4" max="5" width="1.64453125" customWidth="1"/>
    <col min="6" max="6" width="4.64453125" customWidth="1"/>
    <col min="7" max="7" width="4.87890625" customWidth="1"/>
  </cols>
  <sheetData>
    <row r="1" spans="1:5" ht="12.7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3.9">
      <c r="A10" s="74"/>
      <c r="B10" s="63" t="str">
        <f ca="1">OFFSET(L!$C$1,MATCH("Definitions"&amp;ADDRESS(ROW(),COLUMN(),4),L!$A:$A,0)-1,SL,,)</f>
        <v>DRC</v>
      </c>
      <c r="C10" s="63" t="str">
        <f ca="1">OFFSET(L!$C$1,MATCH("Definitions"&amp;ADDRESS(ROW(),COLUMN(),4),L!$A:$A,0)-1,SL,,)</f>
        <v>Democratic Republic of Congo</v>
      </c>
      <c r="D10" s="321"/>
      <c r="E10" s="100" t="s">
        <v>1307</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92.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1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4.65">
      <c r="A19" s="74"/>
      <c r="B19" s="63" t="str">
        <f ca="1">OFFSET(L!$C$1,MATCH("Definitions"&amp;ADDRESS(ROW(),COLUMN(),4),L!$A:$A,0)-1,SL,,)</f>
        <v>OECD</v>
      </c>
      <c r="C19" s="63" t="str">
        <f ca="1">OFFSET(L!$C$1,MATCH("Definitions"&amp;ADDRESS(ROW(),COLUMN(),4),L!$A:$A,0)-1,SL,,)</f>
        <v>Organisation for Economic Co-operation and Development</v>
      </c>
      <c r="D19" s="321"/>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3.150000000000006">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5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65">
      <c r="A32" s="74"/>
      <c r="B32" s="320" t="str">
        <f ca="1">OFFSET(L!$C$1,MATCH("General"&amp;"Cpy",L!$A:$A,0)-1,SL,,)</f>
        <v>© 2023 Responsible Minerals Initiative. All rights reserved.</v>
      </c>
      <c r="C32" s="320"/>
      <c r="D32" s="321"/>
      <c r="E32" s="100"/>
    </row>
    <row r="33" spans="1:4" ht="12.75" thickBot="1">
      <c r="A33" s="75"/>
      <c r="B33" s="153"/>
      <c r="C33" s="153"/>
      <c r="D33" s="322"/>
    </row>
    <row r="34" spans="1:4" ht="12.7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73" zoomScale="85" zoomScaleNormal="85" zoomScalePageLayoutView="70" workbookViewId="0">
      <selection activeCell="D89" sqref="D89:E89"/>
    </sheetView>
  </sheetViews>
  <sheetFormatPr defaultColWidth="8.87890625" defaultRowHeight="12.4"/>
  <cols>
    <col min="1" max="1" width="1.87890625" customWidth="1"/>
    <col min="2" max="2" width="83.1171875" customWidth="1"/>
    <col min="3" max="3" width="1.64453125" customWidth="1"/>
    <col min="4" max="5" width="16.64453125" customWidth="1"/>
    <col min="6" max="6" width="1.64453125" customWidth="1"/>
    <col min="7" max="9" width="16.64453125" customWidth="1"/>
    <col min="10" max="10" width="17.87890625" customWidth="1"/>
    <col min="11" max="11" width="1.64453125" customWidth="1"/>
    <col min="12" max="12" width="3.64453125" hidden="1" customWidth="1"/>
    <col min="13" max="15" width="4.87890625" hidden="1" customWidth="1"/>
    <col min="16" max="23" width="9.1171875" hidden="1" customWidth="1"/>
    <col min="24" max="24" width="9.1171875" customWidth="1"/>
  </cols>
  <sheetData>
    <row r="1" spans="1:34" ht="1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24.7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95" t="s">
        <v>15797</v>
      </c>
      <c r="E12" s="396"/>
      <c r="F12" s="396"/>
      <c r="G12" s="396"/>
      <c r="H12" s="396"/>
      <c r="I12" s="396"/>
      <c r="J12" s="397"/>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95" t="s">
        <v>15799</v>
      </c>
      <c r="E14" s="396"/>
      <c r="F14" s="396"/>
      <c r="G14" s="396"/>
      <c r="H14" s="396"/>
      <c r="I14" s="396"/>
      <c r="J14" s="397"/>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95" t="s">
        <v>15800</v>
      </c>
      <c r="E15" s="396"/>
      <c r="F15" s="396"/>
      <c r="G15" s="396"/>
      <c r="H15" s="396"/>
      <c r="I15" s="396"/>
      <c r="J15" s="397"/>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98" t="s">
        <v>15801</v>
      </c>
      <c r="E16" s="399"/>
      <c r="F16" s="399"/>
      <c r="G16" s="399"/>
      <c r="H16" s="399"/>
      <c r="I16" s="399"/>
      <c r="J16" s="40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95" t="s">
        <v>15802</v>
      </c>
      <c r="E17" s="396"/>
      <c r="F17" s="396"/>
      <c r="G17" s="396"/>
      <c r="H17" s="396"/>
      <c r="I17" s="396"/>
      <c r="J17" s="397"/>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95" t="s">
        <v>15803</v>
      </c>
      <c r="E18" s="396"/>
      <c r="F18" s="396"/>
      <c r="G18" s="396"/>
      <c r="H18" s="396"/>
      <c r="I18" s="396"/>
      <c r="J18" s="397"/>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95" t="s">
        <v>15804</v>
      </c>
      <c r="E19" s="396"/>
      <c r="F19" s="396"/>
      <c r="G19" s="396"/>
      <c r="H19" s="396"/>
      <c r="I19" s="396"/>
      <c r="J19" s="397"/>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401" t="s">
        <v>15805</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28">
        <v>45118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3"/>
      <c r="I37" s="373"/>
      <c r="J37" s="373"/>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Tantalum  </v>
      </c>
      <c r="C56" s="35"/>
      <c r="D56" s="367"/>
      <c r="E56" s="368"/>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Tin  (*)</v>
      </c>
      <c r="C57" s="35"/>
      <c r="D57" s="367" t="s">
        <v>15807</v>
      </c>
      <c r="E57" s="368"/>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 xml:space="preserve">Gold  </v>
      </c>
      <c r="C58" s="35"/>
      <c r="D58" s="367"/>
      <c r="E58" s="368"/>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 xml:space="preserve">Tungsten  </v>
      </c>
      <c r="C59" s="35"/>
      <c r="D59" s="367"/>
      <c r="E59" s="368"/>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2"/>
      <c r="I61" s="372"/>
      <c r="J61" s="372"/>
      <c r="K61" s="36"/>
      <c r="L61" s="111" t="s">
        <v>1236</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2" t="str">
        <f>IF(Q75="(*)","Click here to enter smelter names","")</f>
        <v/>
      </c>
      <c r="I67" s="372"/>
      <c r="J67" s="372"/>
      <c r="K67" s="36"/>
      <c r="L67" s="111" t="s">
        <v>1236</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82" t="str">
        <f ca="1">OFFSET(L!$C$1,MATCH("Declaration"&amp;ADDRESS(ROW(),COLUMN(),4),L!$A:$A,0)-1,SL,,)</f>
        <v>Answer the Following Questions at a Company Level</v>
      </c>
      <c r="C73" s="382"/>
      <c r="D73" s="382"/>
      <c r="E73" s="382"/>
      <c r="F73" s="382"/>
      <c r="G73" s="382"/>
      <c r="H73" s="382"/>
      <c r="I73" s="382"/>
      <c r="J73" s="38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15808</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488</v>
      </c>
      <c r="E85" s="379"/>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4.6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11" priority="164" stopIfTrue="1">
      <formula>IF($D$22="",TRUE)</formula>
    </cfRule>
  </conditionalFormatting>
  <conditionalFormatting sqref="D26:E26">
    <cfRule type="expression" dxfId="110" priority="142" stopIfTrue="1">
      <formula>IF($D$26="",TRUE)</formula>
    </cfRule>
  </conditionalFormatting>
  <conditionalFormatting sqref="D27:E27">
    <cfRule type="expression" dxfId="109" priority="149" stopIfTrue="1">
      <formula>IF($D$27="",TRUE)</formula>
    </cfRule>
  </conditionalFormatting>
  <conditionalFormatting sqref="D28:E28">
    <cfRule type="expression" dxfId="108" priority="150" stopIfTrue="1">
      <formula>IF($D$28="",TRUE)</formula>
    </cfRule>
  </conditionalFormatting>
  <conditionalFormatting sqref="D29:E29">
    <cfRule type="expression" dxfId="107" priority="151" stopIfTrue="1">
      <formula>IF($D$29="",TRUE)</formula>
    </cfRule>
  </conditionalFormatting>
  <conditionalFormatting sqref="D32:E32">
    <cfRule type="expression" dxfId="106" priority="60" stopIfTrue="1">
      <formula>IF(AND(OR($D$26="Yes",$D$26=""),$D$32=""),1,0)</formula>
    </cfRule>
    <cfRule type="expression" dxfId="105" priority="147" stopIfTrue="1">
      <formula>$P$26=""</formula>
    </cfRule>
  </conditionalFormatting>
  <conditionalFormatting sqref="D33:E33">
    <cfRule type="expression" dxfId="104" priority="48" stopIfTrue="1">
      <formula>$P$27=""</formula>
    </cfRule>
    <cfRule type="expression" dxfId="103" priority="47" stopIfTrue="1">
      <formula>IF(AND(OR($D$27="Yes",$D$27=""),$D$33=""),1,0)</formula>
    </cfRule>
  </conditionalFormatting>
  <conditionalFormatting sqref="D34:E34">
    <cfRule type="expression" dxfId="102" priority="6" stopIfTrue="1">
      <formula>IF(AND(OR($D$28="Yes",$D$28=""),$D$34=""),1,0)</formula>
    </cfRule>
    <cfRule type="expression" dxfId="101" priority="7" stopIfTrue="1">
      <formula>$P$28=""</formula>
    </cfRule>
  </conditionalFormatting>
  <conditionalFormatting sqref="D35:E35">
    <cfRule type="expression" dxfId="100" priority="44" stopIfTrue="1">
      <formula>IF(AND(OR($D$29="Yes",$D$29=""),$D$35=""),1,0)</formula>
    </cfRule>
    <cfRule type="expression" dxfId="99" priority="168" stopIfTrue="1">
      <formula>$P$29=""</formula>
    </cfRule>
  </conditionalFormatting>
  <conditionalFormatting sqref="D38:E38 D44:E44 D50:E50 D56:E56 D62:E62 D68:E68">
    <cfRule type="expression" dxfId="98" priority="23" stopIfTrue="1">
      <formula>$P$26=""</formula>
    </cfRule>
    <cfRule type="expression" dxfId="97" priority="24" stopIfTrue="1">
      <formula>$P$32=""</formula>
    </cfRule>
  </conditionalFormatting>
  <conditionalFormatting sqref="D38:E38">
    <cfRule type="expression" dxfId="96" priority="59" stopIfTrue="1">
      <formula>IF(AND(OR($D$26="Yes",$D$26=""),OR($D$32="Yes",$D$32=""),D38=""),1,0)</formula>
    </cfRule>
  </conditionalFormatting>
  <conditionalFormatting sqref="D39:E39 D45:E45 D51:E51 D57:E57 D63:E63 D69:E69">
    <cfRule type="expression" dxfId="95" priority="17" stopIfTrue="1">
      <formula>$P$33=""</formula>
    </cfRule>
    <cfRule type="expression" dxfId="94" priority="18" stopIfTrue="1">
      <formula>$P$39=""</formula>
    </cfRule>
  </conditionalFormatting>
  <conditionalFormatting sqref="D39:E39">
    <cfRule type="expression" dxfId="93" priority="55" stopIfTrue="1">
      <formula>IF(AND(OR($D$27="Yes",$D$27=""),OR($D$33="Yes",$D$33=""),D39=""),1,0)</formula>
    </cfRule>
  </conditionalFormatting>
  <conditionalFormatting sqref="D40:E40 D46:E46 D52:E52 D58:E58 D64:E64 D70:E70">
    <cfRule type="expression" dxfId="92" priority="12" stopIfTrue="1">
      <formula>$P$28=""</formula>
    </cfRule>
    <cfRule type="expression" dxfId="91" priority="13" stopIfTrue="1">
      <formula>$P$34=""</formula>
    </cfRule>
  </conditionalFormatting>
  <conditionalFormatting sqref="D40:E40">
    <cfRule type="expression" dxfId="90" priority="54" stopIfTrue="1">
      <formula>IF(AND(OR($D$28="Yes",$D$28=""),OR($D$34="Yes",$D$34=""),D40=""),1,0)</formula>
    </cfRule>
  </conditionalFormatting>
  <conditionalFormatting sqref="D41:E41 D47:E47 D53:E53 D59:E59 D65:E65 D71:E71">
    <cfRule type="expression" dxfId="89" priority="8" stopIfTrue="1">
      <formula>$P$29=""</formula>
    </cfRule>
    <cfRule type="expression" dxfId="88" priority="9" stopIfTrue="1">
      <formula>$P$35=""</formula>
    </cfRule>
  </conditionalFormatting>
  <conditionalFormatting sqref="D41:E41">
    <cfRule type="expression" dxfId="87" priority="170" stopIfTrue="1">
      <formula>IF(AND(OR($D$29="Yes",$D$29=""),OR($D$35="Yes",$D$35=""),D41=""),1,0)</formula>
    </cfRule>
  </conditionalFormatting>
  <conditionalFormatting sqref="D44:E44">
    <cfRule type="expression" dxfId="86" priority="58" stopIfTrue="1">
      <formula>IF(AND(OR($D$26="Yes",$D$26=""),OR($D$32="Yes",$D$32=""),D44=""),1,0)</formula>
    </cfRule>
  </conditionalFormatting>
  <conditionalFormatting sqref="D45:E45">
    <cfRule type="expression" dxfId="85" priority="20" stopIfTrue="1">
      <formula>IF(AND(OR($D$27="Yes",$D$27=""),OR($D$33="Yes",$D$33=""),D45=""),1,0)</formula>
    </cfRule>
  </conditionalFormatting>
  <conditionalFormatting sqref="D46:E46">
    <cfRule type="expression" dxfId="84" priority="45" stopIfTrue="1">
      <formula>IF(AND(OR($D$28="Yes",$D$28=""),OR($D$34="Yes",$D$34=""),D46=""),1,0)</formula>
    </cfRule>
  </conditionalFormatting>
  <conditionalFormatting sqref="D47:E47">
    <cfRule type="expression" dxfId="83" priority="53" stopIfTrue="1">
      <formula>IF(AND(OR($D$29="Yes",$D$29=""),OR($D$35="Yes",$D$35=""),D47=""),1,0)</formula>
    </cfRule>
  </conditionalFormatting>
  <conditionalFormatting sqref="D50:E50">
    <cfRule type="expression" dxfId="82" priority="26" stopIfTrue="1">
      <formula>IF(AND(OR($D$26="Yes",$D$26=""),OR($D$32="Yes",$D$32=""),D50=""),1,0)</formula>
    </cfRule>
  </conditionalFormatting>
  <conditionalFormatting sqref="D51:E51">
    <cfRule type="expression" dxfId="81" priority="165" stopIfTrue="1">
      <formula>IF(AND(OR($D$27="Yes",$D$27=""),OR($D$33="Yes",$D$33=""),D51=""),1,0)</formula>
    </cfRule>
  </conditionalFormatting>
  <conditionalFormatting sqref="D52:E52">
    <cfRule type="expression" dxfId="80" priority="16" stopIfTrue="1">
      <formula>IF(AND(OR($D$28="Yes",$D$28=""),OR($D$34="Yes",$D$34=""),D52=""),1,0)</formula>
    </cfRule>
  </conditionalFormatting>
  <conditionalFormatting sqref="D53:E53">
    <cfRule type="expression" dxfId="79" priority="39" stopIfTrue="1">
      <formula>IF(AND(OR($D$29="Yes",$D$29=""),OR($D$35="Yes",$D$35=""),D53=""),1,0)</formula>
    </cfRule>
  </conditionalFormatting>
  <conditionalFormatting sqref="D56:E56">
    <cfRule type="expression" dxfId="78" priority="34" stopIfTrue="1">
      <formula>IF(AND(OR($D$26="Yes",$D$26=""),OR($D$32="Yes",$D$32=""),D56=""),1,0)</formula>
    </cfRule>
  </conditionalFormatting>
  <conditionalFormatting sqref="D57:E57">
    <cfRule type="expression" dxfId="77" priority="22" stopIfTrue="1">
      <formula>IF(AND(OR($D$27="Yes",$D$27=""),OR($D$33="Yes",$D$33=""),D57=""),1,0)</formula>
    </cfRule>
  </conditionalFormatting>
  <conditionalFormatting sqref="D58:E58">
    <cfRule type="expression" dxfId="76" priority="15" stopIfTrue="1">
      <formula>IF(AND(OR($D$28="Yes",$D$28=""),OR($D$34="Yes",$D$34=""),D58=""),1,0)</formula>
    </cfRule>
  </conditionalFormatting>
  <conditionalFormatting sqref="D59:E59">
    <cfRule type="expression" dxfId="75" priority="11" stopIfTrue="1">
      <formula>IF(AND(OR($D$29="Yes",$D$29=""),OR($D$35="Yes",$D$35=""),D59=""),1,0)</formula>
    </cfRule>
  </conditionalFormatting>
  <conditionalFormatting sqref="D62:E62">
    <cfRule type="expression" dxfId="74" priority="33" stopIfTrue="1">
      <formula>IF(AND(OR($D$26="Yes",$D$26=""),OR($D$32="Yes",$D$32=""),D62=""),1,0)</formula>
    </cfRule>
  </conditionalFormatting>
  <conditionalFormatting sqref="D63:E63">
    <cfRule type="expression" dxfId="73" priority="19" stopIfTrue="1">
      <formula>IF(AND(OR($D$27="Yes",$D$27=""),OR($D$33="Yes",$D$33=""),D63=""),1,0)</formula>
    </cfRule>
  </conditionalFormatting>
  <conditionalFormatting sqref="D64:E64">
    <cfRule type="expression" dxfId="72" priority="14" stopIfTrue="1">
      <formula>IF(AND(OR($D$28="Yes",$D$28=""),OR($D$34="Yes",$D$34=""),D64=""),1,0)</formula>
    </cfRule>
  </conditionalFormatting>
  <conditionalFormatting sqref="D65:E65">
    <cfRule type="expression" dxfId="71" priority="10" stopIfTrue="1">
      <formula>IF(AND(OR($D$29="Yes",$D$29=""),OR($D$35="Yes",$D$35=""),D65=""),1,0)</formula>
    </cfRule>
  </conditionalFormatting>
  <conditionalFormatting sqref="D68:E68">
    <cfRule type="expression" dxfId="70" priority="25" stopIfTrue="1">
      <formula>IF(AND(OR($D$26="Yes",$D$26=""),OR($D$32="Yes",$D$32=""),D68=""),1,0)</formula>
    </cfRule>
  </conditionalFormatting>
  <conditionalFormatting sqref="D69:E69">
    <cfRule type="expression" dxfId="69" priority="21" stopIfTrue="1">
      <formula>IF(AND(OR($D$27="Yes",$D$27=""),OR($D$33="Yes",$D$33=""),D69=""),1,0)</formula>
    </cfRule>
  </conditionalFormatting>
  <conditionalFormatting sqref="D70:E70">
    <cfRule type="expression" dxfId="68" priority="167" stopIfTrue="1">
      <formula>IF(AND(OR($D$28="Yes",$D$28=""),OR($D$34="Yes",$D$34=""),D70=""),1,0)</formula>
    </cfRule>
  </conditionalFormatting>
  <conditionalFormatting sqref="D71:E71">
    <cfRule type="expression" dxfId="67" priority="169" stopIfTrue="1">
      <formula>IF(AND(OR($D$29="Yes",$D$29=""),OR($D$35="Yes",$D$35=""),D71=""),1,0)</formula>
    </cfRule>
  </conditionalFormatting>
  <conditionalFormatting sqref="D75:E75 D77:E77 D79:E79 D81:E81 D83 D85:E85 D87:E87 D89:E89">
    <cfRule type="expression" dxfId="66" priority="90" stopIfTrue="1">
      <formula>AND(OR($D$26="No",AND($D$26="Yes",$D$32="No")),OR($D$27="No",AND($D$27="Yes",$D$33="No")),OR($D$28="No",AND($D$28="Yes",$D$34="No")),OR($D$29="No",AND($D$29="Yes",$D$35="No")))</formula>
    </cfRule>
    <cfRule type="expression" dxfId="65" priority="91" stopIfTrue="1">
      <formula>IF(D75="",TRUE)</formula>
    </cfRule>
  </conditionalFormatting>
  <conditionalFormatting sqref="D9:G9">
    <cfRule type="expression" dxfId="64" priority="157" stopIfTrue="1">
      <formula>IF($D$9="",TRUE)</formula>
    </cfRule>
  </conditionalFormatting>
  <conditionalFormatting sqref="D8:J8">
    <cfRule type="expression" dxfId="63" priority="156" stopIfTrue="1">
      <formula>IF($D$8="",TRUE)</formula>
    </cfRule>
  </conditionalFormatting>
  <conditionalFormatting sqref="D10:J10">
    <cfRule type="expression" dxfId="62" priority="171" stopIfTrue="1">
      <formula>IF(AND($D$10="",$D$9=$R$9),TRUE)</formula>
    </cfRule>
    <cfRule type="expression" dxfId="61" priority="61" stopIfTrue="1">
      <formula>IF($D$9=$Q$9,TRUE)</formula>
    </cfRule>
  </conditionalFormatting>
  <conditionalFormatting sqref="G77:J77">
    <cfRule type="expression" dxfId="55" priority="62" stopIfTrue="1">
      <formula>IF(AND($D$77="Yes",$G$77=""),TRUE)</formula>
    </cfRule>
  </conditionalFormatting>
  <conditionalFormatting sqref="G85:J85">
    <cfRule type="expression" dxfId="54" priority="52" stopIfTrue="1">
      <formula>IF(AND($D$85="Yes, using other format (describe)",$G$85=""),TRUE)</formula>
    </cfRule>
  </conditionalFormatting>
  <conditionalFormatting sqref="D15:J15">
    <cfRule type="expression" dxfId="31" priority="5" stopIfTrue="1">
      <formula>IF($D$15="",TRUE)</formula>
    </cfRule>
  </conditionalFormatting>
  <conditionalFormatting sqref="D16:J16">
    <cfRule type="expression" dxfId="29" priority="4" stopIfTrue="1">
      <formula>IF($D$16="",TRUE)</formula>
    </cfRule>
  </conditionalFormatting>
  <conditionalFormatting sqref="D17:J17">
    <cfRule type="expression" dxfId="27" priority="3" stopIfTrue="1">
      <formula>IF($D$17="",TRUE)</formula>
    </cfRule>
  </conditionalFormatting>
  <conditionalFormatting sqref="D18:J18">
    <cfRule type="expression" dxfId="25" priority="2" stopIfTrue="1">
      <formula>IF($D$18="",TRUE)</formula>
    </cfRule>
  </conditionalFormatting>
  <conditionalFormatting sqref="D20:J20">
    <cfRule type="expression" dxfId="23" priority="1"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5" sqref="C5:C11"/>
    </sheetView>
  </sheetViews>
  <sheetFormatPr defaultColWidth="8.87890625" defaultRowHeight="12.4"/>
  <cols>
    <col min="1" max="1" width="13.64453125" style="227" customWidth="1"/>
    <col min="2" max="2" width="13.3515625" style="229" customWidth="1"/>
    <col min="3" max="3" width="40.64453125" style="229" customWidth="1"/>
    <col min="4" max="4" width="30.64453125" style="229" customWidth="1"/>
    <col min="5" max="5" width="20.87890625" style="229" customWidth="1"/>
    <col min="6" max="7" width="13.87890625" style="229" customWidth="1"/>
    <col min="8" max="8" width="25.1171875" style="229" customWidth="1"/>
    <col min="9" max="9" width="24.1171875" style="229" customWidth="1"/>
    <col min="10" max="10" width="18.3515625" style="229" customWidth="1"/>
    <col min="11" max="11" width="27.3515625" style="229" customWidth="1"/>
    <col min="12" max="12" width="20.64453125" style="229" customWidth="1"/>
    <col min="13" max="13" width="35.1171875" style="229" customWidth="1"/>
    <col min="14" max="14" width="42.1171875" style="229" customWidth="1"/>
    <col min="15" max="15" width="32.1171875" style="229" customWidth="1"/>
    <col min="16" max="16" width="22.87890625" style="229" customWidth="1"/>
    <col min="17" max="17" width="43.64453125" style="229" customWidth="1"/>
    <col min="18" max="18" width="35.87890625" style="229" hidden="1" customWidth="1"/>
    <col min="19" max="20" width="17.87890625" style="229" hidden="1" customWidth="1"/>
    <col min="21" max="21" width="8.87890625" style="229" hidden="1" customWidth="1"/>
    <col min="22" max="22" width="6.1171875" style="229" hidden="1" customWidth="1"/>
    <col min="23" max="23" width="8.64453125" style="229" hidden="1" customWidth="1"/>
    <col min="24" max="24" width="8.87890625" style="229" hidden="1" customWidth="1"/>
    <col min="25" max="27" width="4.3515625" style="229" hidden="1" customWidth="1"/>
    <col min="28" max="28" width="7.87890625" style="229" hidden="1" customWidth="1"/>
    <col min="29" max="33" width="4.3515625" style="229" hidden="1" customWidth="1"/>
    <col min="34" max="34" width="14.64453125" style="229" hidden="1" customWidth="1"/>
    <col min="35" max="39" width="8.87890625" style="229" customWidth="1"/>
    <col min="40" max="16384" width="8.8789062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75">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488</v>
      </c>
    </row>
    <row r="3" spans="1:34" s="221" customFormat="1" ht="173.4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2023 Responsible Minerals Initiative. All rights reserved.</v>
      </c>
      <c r="H3" s="386"/>
      <c r="I3" s="387"/>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402" t="s">
        <v>1030</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ca="1" si="1">IF(AND(C5="Smelter not listed",OR(LEN(D5)=0,LEN(E5)=0)),1,0)</f>
        <v>0</v>
      </c>
      <c r="AB5" s="228" t="str">
        <f t="shared" ref="AB5" si="2">B5&amp;C5</f>
        <v>TinMinsur</v>
      </c>
    </row>
    <row r="6" spans="1:34" s="227" customFormat="1" ht="19.899999999999999" customHeight="1">
      <c r="A6" s="262"/>
      <c r="B6" s="182" t="s">
        <v>1126</v>
      </c>
      <c r="C6" s="402" t="s">
        <v>51</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3">IF(B6="","",IF(ISERROR(MATCH($E6,CL,0)),"Unknown",INDIRECT("'C'!$A$"&amp;MATCH($E6,CL,0)+1)))</f>
        <v>CN</v>
      </c>
      <c r="T6" s="181" t="str">
        <f ca="1">IF(B6="","",IF(ISERROR(MATCH($J6,SorP!$B$1:$B$6279,0)),"",INDIRECT("'SorP'!$A$"&amp;MATCH($S6&amp;$J6,SorP!C:C,0))))</f>
        <v>CN-YN</v>
      </c>
      <c r="U6" s="201"/>
      <c r="V6" s="226">
        <f>IF(C6="",NA(),IF(OR(C6="Smelter not listed",C6="Smelter not yet identified"),MATCH($B6&amp;$D6,'Smelter Look-up'!$J:$J,0),MATCH($B6&amp;$C6,'Smelter Look-up'!$J:$J,0)))</f>
        <v>548</v>
      </c>
      <c r="X6" s="227">
        <f t="shared" ref="X6:X37" ca="1" si="4">IF(AND(C6="Smelter not listed",OR(LEN(D6)=0,LEN(E6)=0)),1,0)</f>
        <v>0</v>
      </c>
      <c r="AB6" s="228" t="str">
        <f t="shared" ref="AB6:AB37" si="5">B6&amp;C6</f>
        <v>TinYunnan Tin Company, Ltd.</v>
      </c>
    </row>
    <row r="7" spans="1:34" s="227" customFormat="1" ht="19.899999999999999" customHeight="1">
      <c r="A7" s="262"/>
      <c r="B7" s="182" t="s">
        <v>1126</v>
      </c>
      <c r="C7" s="402" t="s">
        <v>817</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IF(C7="",NA(),IF(OR(C7="Smelter not listed",C7="Smelter not yet identified"),MATCH($B7&amp;$D7,'Smelter Look-up'!$J:$J,0),MATCH($B7&amp;$C7,'Smelter Look-up'!$J:$J,0)))</f>
        <v>458</v>
      </c>
      <c r="X7" s="227">
        <f t="shared" ca="1" si="4"/>
        <v>0</v>
      </c>
      <c r="AB7" s="228" t="str">
        <f t="shared" si="5"/>
        <v>TinMalaysia Smelting Corporation (MSC)</v>
      </c>
    </row>
    <row r="8" spans="1:34" s="227" customFormat="1" ht="19.899999999999999" customHeight="1">
      <c r="A8" s="262"/>
      <c r="B8" s="182" t="s">
        <v>1126</v>
      </c>
      <c r="C8" s="402" t="s">
        <v>1797</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3"/>
        <v>TH</v>
      </c>
      <c r="T8" s="181" t="str">
        <f ca="1">IF(B8="","",IF(ISERROR(MATCH($J8,SorP!$B$1:$B$6279,0)),"",INDIRECT("'SorP'!$A$"&amp;MATCH($S8&amp;$J8,SorP!C:C,0))))</f>
        <v>TH-83</v>
      </c>
      <c r="U8" s="201"/>
      <c r="V8" s="226">
        <f>IF(C8="",NA(),IF(OR(C8="Smelter not listed",C8="Smelter not yet identified"),MATCH($B8&amp;$D8,'Smelter Look-up'!$J:$J,0),MATCH($B8&amp;$C8,'Smelter Look-up'!$J:$J,0)))</f>
        <v>525</v>
      </c>
      <c r="X8" s="227">
        <f t="shared" ca="1" si="4"/>
        <v>0</v>
      </c>
      <c r="AB8" s="228" t="str">
        <f t="shared" si="5"/>
        <v>TinThailand Smelting &amp; Refining Co Ltd</v>
      </c>
    </row>
    <row r="9" spans="1:34" s="227" customFormat="1" ht="19.899999999999999" customHeight="1">
      <c r="A9" s="262"/>
      <c r="B9" s="182" t="s">
        <v>1126</v>
      </c>
      <c r="C9" s="402" t="s">
        <v>13801</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3"/>
        <v>ID</v>
      </c>
      <c r="T9" s="181" t="str">
        <f ca="1">IF(B9="","",IF(ISERROR(MATCH($J9,SorP!$B$1:$B$6279,0)),"",INDIRECT("'SorP'!$A$"&amp;MATCH($S9&amp;$J9,SorP!C:C,0))))</f>
        <v>ID-BB</v>
      </c>
      <c r="U9" s="201"/>
      <c r="V9" s="226">
        <f>IF(C9="",NA(),IF(OR(C9="Smelter not listed",C9="Smelter not yet identified"),MATCH($B9&amp;$D9,'Smelter Look-up'!$J:$J,0),MATCH($B9&amp;$C9,'Smelter Look-up'!$J:$J,0)))</f>
        <v>514</v>
      </c>
      <c r="X9" s="227">
        <f t="shared" ca="1" si="4"/>
        <v>0</v>
      </c>
      <c r="AB9" s="228" t="str">
        <f t="shared" si="5"/>
        <v>TinPT Timah Tbk Mentok</v>
      </c>
    </row>
    <row r="10" spans="1:34" s="227" customFormat="1" ht="19.899999999999999" customHeight="1">
      <c r="A10" s="262"/>
      <c r="B10" s="182" t="s">
        <v>1126</v>
      </c>
      <c r="C10" s="402" t="s">
        <v>15115</v>
      </c>
      <c r="D10" s="230"/>
      <c r="E10" s="182" t="str">
        <f ca="1">IF(ISERROR($V10),"",OFFSET('Smelter Look-up'!$D$4,$V10-4,0)&amp;"")</f>
        <v>INDONESIA</v>
      </c>
      <c r="F10" s="182" t="str">
        <f ca="1">IF(ISERROR($V10),"",OFFSET('Smelter Look-up'!$E$4,$V10-4,0))</f>
        <v>CID001468</v>
      </c>
      <c r="G10" s="182" t="str">
        <f ca="1">IF(C10=$X$4,IF(ISERROR($V10),"Enter smelter details","RMI"),IF(ISERROR($V10),"",OFFSET('Smelter Look-up'!$F$4,$V10-4,0)))</f>
        <v>RMI</v>
      </c>
      <c r="H10" s="183">
        <f ca="1">IF(ISERROR($V10),"",OFFSET('Smelter Look-up'!$G$4,$V10-4,0))</f>
        <v>0</v>
      </c>
      <c r="I10" s="184" t="str">
        <f ca="1">IF(ISERROR($V10),"",OFFSET('Smelter Look-up'!$H$4,$V10-4,0))</f>
        <v>Pangkal Pinang</v>
      </c>
      <c r="J10" s="184" t="str">
        <f ca="1">IF(ISERROR($V10),"",OFFSET('Smelter Look-up'!$I$4,$V10-4,0))</f>
        <v>Kepulauan Bangka Belitung</v>
      </c>
      <c r="K10" s="224"/>
      <c r="L10" s="224"/>
      <c r="M10" s="224"/>
      <c r="N10" s="224"/>
      <c r="O10" s="224"/>
      <c r="P10" s="185"/>
      <c r="Q10" s="225"/>
      <c r="R10" s="182" t="str">
        <f ca="1">IF(ISERROR($V10),"",OFFSET('Smelter Look-up'!$C$4,$V10-4,0)&amp;"")</f>
        <v>PT Stanindo Inti Perkasa</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509</v>
      </c>
      <c r="X10" s="227">
        <f t="shared" ca="1" si="4"/>
        <v>0</v>
      </c>
      <c r="AB10" s="228" t="str">
        <f t="shared" si="5"/>
        <v>TinPT Stanindo Inti Perkasa</v>
      </c>
    </row>
    <row r="11" spans="1:34" s="227" customFormat="1" ht="19.899999999999999" customHeight="1">
      <c r="A11" s="262"/>
      <c r="B11" s="182" t="s">
        <v>1126</v>
      </c>
      <c r="C11" s="402" t="s">
        <v>13802</v>
      </c>
      <c r="D11" s="230"/>
      <c r="E11" s="182" t="str">
        <f ca="1">IF(ISERROR($V11),"",OFFSET('Smelter Look-up'!$D$4,$V11-4,0)&amp;"")</f>
        <v>INDONESIA</v>
      </c>
      <c r="F11" s="182" t="str">
        <f ca="1">IF(ISERROR($V11),"",OFFSET('Smelter Look-up'!$E$4,$V11-4,0))</f>
        <v>CID001477</v>
      </c>
      <c r="G11" s="182" t="str">
        <f ca="1">IF(C11=$X$4,IF(ISERROR($V11),"Enter smelter details","RMI"),IF(ISERROR($V11),"",OFFSET('Smelter Look-up'!$F$4,$V11-4,0)))</f>
        <v>RMI</v>
      </c>
      <c r="H11" s="183">
        <f ca="1">IF(ISERROR($V11),"",OFFSET('Smelter Look-up'!$G$4,$V11-4,0))</f>
        <v>0</v>
      </c>
      <c r="I11" s="184" t="str">
        <f ca="1">IF(ISERROR($V11),"",OFFSET('Smelter Look-up'!$H$4,$V11-4,0))</f>
        <v>Kundur</v>
      </c>
      <c r="J11" s="184" t="str">
        <f ca="1">IF(ISERROR($V11),"",OFFSET('Smelter Look-up'!$I$4,$V11-4,0))</f>
        <v>Riau</v>
      </c>
      <c r="K11" s="224"/>
      <c r="L11" s="224"/>
      <c r="M11" s="224"/>
      <c r="N11" s="224"/>
      <c r="O11" s="224"/>
      <c r="P11" s="185"/>
      <c r="Q11" s="225"/>
      <c r="R11" s="182" t="str">
        <f ca="1">IF(ISERROR($V11),"",OFFSET('Smelter Look-up'!$C$4,$V11-4,0)&amp;"")</f>
        <v>PT Timah Tbk Kundur</v>
      </c>
      <c r="S11" s="181" t="str">
        <f t="shared" ca="1" si="3"/>
        <v>ID</v>
      </c>
      <c r="T11" s="181" t="str">
        <f ca="1">IF(B11="","",IF(ISERROR(MATCH($J11,SorP!$B$1:$B$6279,0)),"",INDIRECT("'SorP'!$A$"&amp;MATCH($S11&amp;$J11,SorP!C:C,0))))</f>
        <v>ID-RI</v>
      </c>
      <c r="U11" s="201"/>
      <c r="V11" s="226">
        <f>IF(C11="",NA(),IF(OR(C11="Smelter not listed",C11="Smelter not yet identified"),MATCH($B11&amp;$D11,'Smelter Look-up'!$J:$J,0),MATCH($B11&amp;$C11,'Smelter Look-up'!$J:$J,0)))</f>
        <v>513</v>
      </c>
      <c r="X11" s="227">
        <f t="shared" ca="1" si="4"/>
        <v>0</v>
      </c>
      <c r="AB11" s="228" t="str">
        <f t="shared" si="5"/>
        <v>TinPT Timah Tbk Kundur</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53" priority="15" stopIfTrue="1">
      <formula>IF(B5="",TRUE)</formula>
    </cfRule>
    <cfRule type="expression" dxfId="52" priority="18" stopIfTrue="1">
      <formula>IF(AND(COUNTIF(MetalSmelter,B5&amp;C5)=0,LEN(C5)&gt;0),TRUE,FALSE)</formula>
    </cfRule>
  </conditionalFormatting>
  <conditionalFormatting sqref="C12:C2504">
    <cfRule type="expression" dxfId="51" priority="13" stopIfTrue="1">
      <formula>IF(AND(B12&lt;&gt;"",C12=""),TRUE)</formula>
    </cfRule>
  </conditionalFormatting>
  <conditionalFormatting sqref="D5:D2504">
    <cfRule type="expression" dxfId="50" priority="22" stopIfTrue="1">
      <formula>IF(AND(LEN($C5)&gt;0,AND($C5&lt;&gt;"Smelter Not Listed",ISBLANK($D5))),1,0)</formula>
    </cfRule>
    <cfRule type="expression" dxfId="49" priority="29" stopIfTrue="1">
      <formula>IF(AND(D5="",$C5=$X$4),TRUE)</formula>
    </cfRule>
    <cfRule type="expression" dxfId="48" priority="30" stopIfTrue="1">
      <formula>IF(FIND("!",D5),TRUE)</formula>
    </cfRule>
  </conditionalFormatting>
  <conditionalFormatting sqref="E5:E2504 R5:R2504">
    <cfRule type="expression" dxfId="47" priority="16" stopIfTrue="1">
      <formula>IF(AND(E5="",$C5=$X$4),TRUE)</formula>
    </cfRule>
    <cfRule type="expression" dxfId="46" priority="17" stopIfTrue="1">
      <formula>IF(FIND("!",E5),TRUE)</formula>
    </cfRule>
  </conditionalFormatting>
  <conditionalFormatting sqref="F5:F2504">
    <cfRule type="expression" dxfId="45" priority="14" stopIfTrue="1">
      <formula>IF(AND(LEN($A5)&gt;0,$A5&lt;&gt;$F5),TRUE,FALSE)</formula>
    </cfRule>
  </conditionalFormatting>
  <conditionalFormatting sqref="G5:G2504">
    <cfRule type="expression" dxfId="44" priority="31" stopIfTrue="1">
      <formula>IF(FIND("Enter smelter details",G5),TRUE)</formula>
    </cfRule>
  </conditionalFormatting>
  <conditionalFormatting sqref="C5">
    <cfRule type="expression" dxfId="13" priority="7" stopIfTrue="1">
      <formula>IF(AND(B5&lt;&gt;"",C5=""),TRUE)</formula>
    </cfRule>
  </conditionalFormatting>
  <conditionalFormatting sqref="C6">
    <cfRule type="expression" dxfId="11" priority="6" stopIfTrue="1">
      <formula>IF(AND(B6&lt;&gt;"",C6=""),TRUE)</formula>
    </cfRule>
  </conditionalFormatting>
  <conditionalFormatting sqref="C7">
    <cfRule type="expression" dxfId="9" priority="5" stopIfTrue="1">
      <formula>IF(AND(B7&lt;&gt;"",C7=""),TRUE)</formula>
    </cfRule>
  </conditionalFormatting>
  <conditionalFormatting sqref="C8">
    <cfRule type="expression" dxfId="7" priority="4" stopIfTrue="1">
      <formula>IF(AND(B8&lt;&gt;"",C8=""),TRUE)</formula>
    </cfRule>
  </conditionalFormatting>
  <conditionalFormatting sqref="C9">
    <cfRule type="expression" dxfId="5" priority="3" stopIfTrue="1">
      <formula>IF(AND(B9&lt;&gt;"",C9=""),TRUE)</formula>
    </cfRule>
  </conditionalFormatting>
  <conditionalFormatting sqref="C10">
    <cfRule type="expression" dxfId="3" priority="2" stopIfTrue="1">
      <formula>IF(AND(B10&lt;&gt;"",C10=""),TRUE)</formula>
    </cfRule>
  </conditionalFormatting>
  <conditionalFormatting sqref="C11">
    <cfRule type="expression" dxfId="1" priority="1" stopIfTrue="1">
      <formula>IF(AND(B11&lt;&gt;"",C11=""),TRUE)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890625" defaultRowHeight="12.4"/>
  <cols>
    <col min="1" max="1" width="45.1171875" style="19" customWidth="1"/>
    <col min="2" max="2" width="42.87890625" style="20" customWidth="1"/>
    <col min="3" max="3" width="51.64453125" style="19" customWidth="1"/>
    <col min="4" max="4" width="29.1171875" style="20" customWidth="1"/>
    <col min="5" max="5" width="9" style="19" customWidth="1"/>
    <col min="6" max="6" width="13.64453125" style="19" hidden="1" customWidth="1"/>
    <col min="7" max="7" width="13.3515625" style="19" hidden="1" customWidth="1"/>
    <col min="8" max="9" width="9" style="19" hidden="1" customWidth="1"/>
    <col min="10" max="10" width="48.87890625" style="19" hidden="1" customWidth="1"/>
    <col min="11" max="11" width="9" style="19" hidden="1" customWidth="1"/>
    <col min="12" max="15" width="8.87890625" style="19" hidden="1" customWidth="1"/>
    <col min="16" max="18" width="8.87890625" style="19" customWidth="1"/>
    <col min="19" max="16384" width="8.87890625" style="19"/>
  </cols>
  <sheetData>
    <row r="1" spans="1:10" ht="29.25">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802</v>
      </c>
    </row>
    <row r="2" spans="1:10" ht="14.65">
      <c r="A2" s="66" t="s">
        <v>894</v>
      </c>
      <c r="B2" s="67" t="str">
        <f>IF(F65=1,"Click here to return to Smelter List","")</f>
        <v/>
      </c>
      <c r="C2" s="121" t="str">
        <f>IF(F65=1,"Click here to return to Product List","")</f>
        <v/>
      </c>
      <c r="D2" s="151" t="str">
        <f ca="1">IF(H70=0,"0",H70)</f>
        <v>0</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8.25">
      <c r="A4" s="90" t="str">
        <f ca="1">Declaration!B8</f>
        <v>Company Name (*):</v>
      </c>
      <c r="B4" s="89" t="str">
        <f>Declaration!D8</f>
        <v>PACIFIC TRANSFORMER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c r="A6" s="90" t="str">
        <f ca="1">Declaration!B10</f>
        <v>Description of Scope:</v>
      </c>
      <c r="B6" s="89" t="str">
        <f>Declaration!D10</f>
        <v>MANUFACTURER OF TRANSFORMERS AND INDUCTORS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SEAN MCDOUGALL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SEAN@PACTRAN.COM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3" t="str">
        <f>Declaration!D17</f>
        <v>714-779-0450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PATRICK THOMAS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pthomas@pactran.com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45118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806</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804</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8.25">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803</v>
      </c>
      <c r="F38" s="93"/>
    </row>
    <row r="39" spans="1:10" ht="25.9">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804</v>
      </c>
      <c r="F43" s="93"/>
    </row>
    <row r="44" spans="1:10" ht="50.6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805</v>
      </c>
      <c r="F48" s="93"/>
    </row>
    <row r="49" spans="1:10" ht="38.25">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441</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https://www.pactran.com/about/quality-assurance-2/</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1.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2.7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3" priority="347" stopIfTrue="1">
      <formula>$F4=0</formula>
    </cfRule>
    <cfRule type="expression" dxfId="42" priority="348" stopIfTrue="1">
      <formula>$H4=0</formula>
    </cfRule>
    <cfRule type="expression" dxfId="41" priority="349" stopIfTrue="1">
      <formula>$H4=1</formula>
    </cfRule>
  </conditionalFormatting>
  <conditionalFormatting sqref="A5:A13">
    <cfRule type="expression" dxfId="40" priority="49" stopIfTrue="1">
      <formula>$F5=0</formula>
    </cfRule>
    <cfRule type="expression" dxfId="39" priority="50" stopIfTrue="1">
      <formula>AND($F5=1,$G5=0)</formula>
    </cfRule>
    <cfRule type="expression" dxfId="38" priority="51" stopIfTrue="1">
      <formula>AND($F5&lt;&gt;0,$G5&lt;&gt;0)</formula>
    </cfRule>
  </conditionalFormatting>
  <conditionalFormatting sqref="A29:A32">
    <cfRule type="expression" dxfId="37" priority="2" stopIfTrue="1">
      <formula>$F29=0</formula>
    </cfRule>
    <cfRule type="expression" dxfId="36" priority="3" stopIfTrue="1">
      <formula>$H29=0</formula>
    </cfRule>
    <cfRule type="expression" dxfId="35" priority="4" stopIfTrue="1">
      <formula>$H29=1</formula>
    </cfRule>
  </conditionalFormatting>
  <conditionalFormatting sqref="B65:B69">
    <cfRule type="expression" dxfId="34" priority="1" stopIfTrue="1">
      <formula>IF(F65=0,TRUE)</formula>
    </cfRule>
  </conditionalFormatting>
  <conditionalFormatting sqref="D56">
    <cfRule type="expression" dxfId="33"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890625" defaultRowHeight="12.4"/>
  <cols>
    <col min="1" max="1" width="3.1171875" style="277" customWidth="1"/>
    <col min="2" max="2" width="39.87890625" style="280" customWidth="1"/>
    <col min="3" max="3" width="39.87890625" style="277" customWidth="1"/>
    <col min="4" max="4" width="58.87890625" style="277" customWidth="1"/>
    <col min="5" max="5" width="1.64453125" style="277" customWidth="1"/>
    <col min="6" max="6" width="9" style="277" customWidth="1"/>
    <col min="7" max="16384" width="8.87890625" style="278"/>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89" t="s">
        <v>894</v>
      </c>
      <c r="C4" s="389"/>
      <c r="D4" s="389"/>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2" t="str">
        <f ca="1">OFFSET(L!$C$1,MATCH("General"&amp;"Cpy",L!$A:$A,0)-1,SL,,)</f>
        <v>© 2023 Responsible Minerals Initiative. All rights reserved.</v>
      </c>
      <c r="C2006" s="392"/>
      <c r="D2006" s="392"/>
      <c r="E2006" s="279"/>
    </row>
    <row r="2007" spans="1:5" ht="12.7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890625" defaultRowHeight="12.4"/>
  <cols>
    <col min="1" max="1" width="9.1171875" style="189" bestFit="1" customWidth="1"/>
    <col min="2" max="2" width="42.87890625" style="189" customWidth="1"/>
    <col min="3" max="3" width="63.87890625" style="189" customWidth="1"/>
    <col min="4" max="4" width="25.64453125" style="189" customWidth="1"/>
    <col min="5" max="5" width="12.64453125" style="189" customWidth="1"/>
    <col min="6" max="6" width="12.64453125" style="190" customWidth="1"/>
    <col min="7" max="7" width="15.3515625" style="189" customWidth="1"/>
    <col min="8" max="8" width="23.87890625" style="189" customWidth="1"/>
    <col min="9" max="9" width="28.1171875" style="189" customWidth="1"/>
    <col min="10" max="10" width="48.234375" style="189" hidden="1" customWidth="1"/>
    <col min="11" max="11" width="49.76171875" style="189" hidden="1" customWidth="1"/>
    <col min="12" max="16384" width="8.8789062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3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890625" defaultRowHeight="13.5"/>
  <cols>
    <col min="1" max="1" width="14.64453125" style="155" customWidth="1"/>
    <col min="2" max="2" width="14" style="155" customWidth="1"/>
    <col min="3" max="3" width="6.1171875" style="155" customWidth="1"/>
    <col min="4" max="4" width="56.234375" style="155" customWidth="1"/>
    <col min="5" max="5" width="53.76171875" style="233" customWidth="1"/>
    <col min="6" max="6" width="54.1171875" style="155" customWidth="1"/>
    <col min="7" max="7" width="68.234375" style="155" customWidth="1"/>
    <col min="8" max="8" width="49.234375" style="155" customWidth="1"/>
    <col min="9" max="9" width="51.64453125" style="155" customWidth="1"/>
    <col min="10" max="10" width="50.234375" style="155" customWidth="1"/>
    <col min="11" max="11" width="51.87890625" customWidth="1"/>
    <col min="12" max="12" width="66.87890625" style="256" customWidth="1"/>
    <col min="13" max="13" width="46.1171875" style="109" customWidth="1"/>
    <col min="14" max="15" width="8.87890625" style="109" customWidth="1"/>
    <col min="16" max="16384" width="8.87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1.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84.7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0.4">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3.1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4">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99.7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199.5">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9">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5.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5.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48.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2.7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2.7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5">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24">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3.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2.7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2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9.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1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1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1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5">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1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2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purl.org/dc/dcmitype/"/>
    <ds:schemaRef ds:uri="http://schemas.openxmlformats.org/package/2006/metadata/core-properties"/>
    <ds:schemaRef ds:uri="http://purl.org/dc/terms/"/>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6e8a5f3d-031c-4996-804e-0e28298fe1e2"/>
    <ds:schemaRef ds:uri="http://purl.org/dc/elements/1.1/"/>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Sean McDougall</cp:lastModifiedBy>
  <cp:lastPrinted>2015-04-21T20:47:43Z</cp:lastPrinted>
  <dcterms:created xsi:type="dcterms:W3CDTF">2010-06-21T21:00:23Z</dcterms:created>
  <dcterms:modified xsi:type="dcterms:W3CDTF">2023-07-11T15:48:13Z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