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DC\iDrive\Dropbox\QMS - Quality Assurance\Conflict Minerals Report\"/>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0" yWindow="0" windowWidth="30720" windowHeight="13584"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5" l="1"/>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s="1"/>
  <c r="V10" i="5"/>
  <c r="E10" i="5" s="1"/>
  <c r="V11" i="5"/>
  <c r="E11" i="5" s="1"/>
  <c r="V12" i="5"/>
  <c r="E12" i="5" s="1"/>
  <c r="X12" i="5" s="1"/>
  <c r="V13" i="5"/>
  <c r="E13" i="5" s="1"/>
  <c r="X13" i="5" s="1"/>
  <c r="V14" i="5"/>
  <c r="E14" i="5" s="1"/>
  <c r="V15" i="5"/>
  <c r="E15" i="5" s="1"/>
  <c r="V16" i="5"/>
  <c r="E16" i="5" s="1"/>
  <c r="V17" i="5"/>
  <c r="E17" i="5" s="1"/>
  <c r="X17" i="5" s="1"/>
  <c r="V18" i="5"/>
  <c r="E18" i="5" s="1"/>
  <c r="V19" i="5"/>
  <c r="G19" i="5" s="1"/>
  <c r="V20" i="5"/>
  <c r="E20" i="5" s="1"/>
  <c r="V21" i="5"/>
  <c r="E21" i="5" s="1"/>
  <c r="X21" i="5" s="1"/>
  <c r="V22" i="5"/>
  <c r="E22" i="5" s="1"/>
  <c r="X22" i="5" s="1"/>
  <c r="V23" i="5"/>
  <c r="E23" i="5" s="1"/>
  <c r="V24" i="5"/>
  <c r="E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0" i="5"/>
  <c r="G11"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s="1"/>
  <c r="B60" i="6"/>
  <c r="G60" i="6" s="1"/>
  <c r="B59" i="6"/>
  <c r="G59" i="6"/>
  <c r="B58" i="6"/>
  <c r="G58" i="6" s="1"/>
  <c r="B57" i="6"/>
  <c r="G57" i="6" s="1"/>
  <c r="B56" i="6"/>
  <c r="G56" i="6" s="1"/>
  <c r="B55" i="6"/>
  <c r="G55" i="6"/>
  <c r="B54" i="6"/>
  <c r="G54" i="6"/>
  <c r="B17" i="6"/>
  <c r="B16" i="6"/>
  <c r="F21" i="6" s="1"/>
  <c r="H21" i="6" s="1"/>
  <c r="D21" i="6" s="1"/>
  <c r="B15" i="6"/>
  <c r="G15" i="6" s="1"/>
  <c r="H15" i="6" s="1"/>
  <c r="B14" i="6"/>
  <c r="G14" i="6" s="1"/>
  <c r="H14" i="6" s="1"/>
  <c r="H13" i="6"/>
  <c r="B12" i="6"/>
  <c r="G12" i="6"/>
  <c r="H12" i="6" s="1"/>
  <c r="D12" i="6" s="1"/>
  <c r="B11" i="6"/>
  <c r="G11" i="6"/>
  <c r="H11" i="6" s="1"/>
  <c r="D11" i="6" s="1"/>
  <c r="G10" i="6"/>
  <c r="H10" i="6" s="1"/>
  <c r="D10" i="6" s="1"/>
  <c r="G9" i="6"/>
  <c r="H9" i="6" s="1"/>
  <c r="D9" i="6" s="1"/>
  <c r="B8" i="6"/>
  <c r="G8" i="6" s="1"/>
  <c r="H8" i="6" s="1"/>
  <c r="D8" i="6" s="1"/>
  <c r="B7" i="6"/>
  <c r="G7" i="6"/>
  <c r="H7" i="6" s="1"/>
  <c r="D7" i="6" s="1"/>
  <c r="B6" i="6"/>
  <c r="G6" i="6" s="1"/>
  <c r="B5" i="6"/>
  <c r="F64" i="6" s="1"/>
  <c r="B4" i="6"/>
  <c r="G4" i="6" s="1"/>
  <c r="H4" i="6" s="1"/>
  <c r="D4" i="6" s="1"/>
  <c r="S2492" i="5"/>
  <c r="B90" i="4"/>
  <c r="H67" i="4"/>
  <c r="P47" i="4"/>
  <c r="P46" i="4"/>
  <c r="P45" i="4"/>
  <c r="P44" i="4"/>
  <c r="P43" i="4"/>
  <c r="Q43" i="4" s="1"/>
  <c r="P41" i="4"/>
  <c r="P40" i="4"/>
  <c r="P39" i="4"/>
  <c r="P38" i="4"/>
  <c r="P37" i="4"/>
  <c r="Q37" i="4" s="1"/>
  <c r="P35" i="4"/>
  <c r="P34" i="4"/>
  <c r="P33" i="4"/>
  <c r="P32" i="4"/>
  <c r="P31" i="4"/>
  <c r="Q31" i="4" s="1"/>
  <c r="P29" i="4"/>
  <c r="P28" i="4"/>
  <c r="B28" i="4" s="1"/>
  <c r="A16" i="6" s="1"/>
  <c r="P27" i="4"/>
  <c r="P26" i="4"/>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G5" i="6"/>
  <c r="H5" i="6" s="1"/>
  <c r="D5" i="6" s="1"/>
  <c r="G17" i="6"/>
  <c r="H17" i="6" s="1"/>
  <c r="B20" i="6"/>
  <c r="B21" i="6"/>
  <c r="B51" i="6"/>
  <c r="G51" i="6" s="1"/>
  <c r="H51" i="6" s="1"/>
  <c r="D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41" i="6"/>
  <c r="G41"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31" i="6" s="1"/>
  <c r="H31" i="6" s="1"/>
  <c r="D31" i="6" s="1"/>
  <c r="B52" i="6"/>
  <c r="G52" i="6" s="1"/>
  <c r="B37" i="6"/>
  <c r="G37" i="6" s="1"/>
  <c r="B42" i="6"/>
  <c r="G42" i="6" s="1"/>
  <c r="B40" i="6"/>
  <c r="G40" i="6" s="1"/>
  <c r="B50" i="6"/>
  <c r="G50" i="6" s="1"/>
  <c r="B25" i="6"/>
  <c r="G25" i="6" s="1"/>
  <c r="B35" i="6"/>
  <c r="G35" i="6" s="1"/>
  <c r="B39" i="6"/>
  <c r="G39" i="6"/>
  <c r="F24" i="6"/>
  <c r="B44" i="6"/>
  <c r="G44" i="6"/>
  <c r="G32" i="6"/>
  <c r="B49" i="6"/>
  <c r="G49" i="6"/>
  <c r="B34" i="6"/>
  <c r="G34" i="6" s="1"/>
  <c r="H34" i="6" s="1"/>
  <c r="D34" i="6" s="1"/>
  <c r="B29" i="6"/>
  <c r="G29" i="6"/>
  <c r="B24" i="6"/>
  <c r="G24" i="6" s="1"/>
  <c r="H24" i="6" s="1"/>
  <c r="D24" i="6" s="1"/>
  <c r="G19" i="6"/>
  <c r="H19" i="6" s="1"/>
  <c r="D19" i="6" s="1"/>
  <c r="G22" i="6"/>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B36" i="6"/>
  <c r="G36" i="6"/>
  <c r="G20" i="6"/>
  <c r="H20" i="6" s="1"/>
  <c r="D20" i="6" s="1"/>
  <c r="B45" i="6"/>
  <c r="G45" i="6" s="1"/>
  <c r="B27" i="6"/>
  <c r="G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51"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D22" i="6" s="1"/>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4" i="6"/>
  <c r="H44" i="6" s="1"/>
  <c r="D44" i="6" s="1"/>
  <c r="F34" i="6"/>
  <c r="F39" i="6"/>
  <c r="F65" i="6"/>
  <c r="C2" i="6" s="1"/>
  <c r="F49" i="6"/>
  <c r="H49" i="6" s="1"/>
  <c r="D49" i="6" s="1"/>
  <c r="F29" i="6"/>
  <c r="H29" i="6" s="1"/>
  <c r="D29" i="6" s="1"/>
  <c r="H39" i="6"/>
  <c r="D39" i="6" s="1"/>
  <c r="H26" i="6"/>
  <c r="D26"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G5" i="5" s="1"/>
  <c r="G6" i="5"/>
  <c r="R6" i="5"/>
  <c r="F6" i="5"/>
  <c r="I6" i="5"/>
  <c r="H6" i="5"/>
  <c r="E6" i="5"/>
  <c r="X6" i="5" s="1"/>
  <c r="J6" i="5"/>
  <c r="H18" i="5"/>
  <c r="F18" i="5"/>
  <c r="J18" i="5"/>
  <c r="R20" i="5"/>
  <c r="F20" i="5"/>
  <c r="J20" i="5"/>
  <c r="T20" i="5" s="1"/>
  <c r="H20" i="5"/>
  <c r="I20" i="5"/>
  <c r="F21" i="5"/>
  <c r="R21" i="5"/>
  <c r="H22" i="5"/>
  <c r="F22" i="5"/>
  <c r="J22" i="5"/>
  <c r="T22" i="5" s="1"/>
  <c r="J24" i="5"/>
  <c r="T24" i="5" s="1"/>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AB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R18" i="5"/>
  <c r="I18" i="5"/>
  <c r="J19" i="5"/>
  <c r="R19" i="5"/>
  <c r="H19" i="5"/>
  <c r="F19" i="5"/>
  <c r="H21" i="5"/>
  <c r="J21" i="5"/>
  <c r="T21" i="5" s="1"/>
  <c r="I21" i="5"/>
  <c r="R22" i="5"/>
  <c r="I22" i="5"/>
  <c r="F23" i="5"/>
  <c r="I23" i="5"/>
  <c r="H23" i="5"/>
  <c r="R23" i="5"/>
  <c r="J23" i="5"/>
  <c r="T23" i="5" s="1"/>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G18" i="5" l="1"/>
  <c r="G17" i="5"/>
  <c r="R17" i="5"/>
  <c r="H17" i="5"/>
  <c r="F17" i="5"/>
  <c r="J17" i="5"/>
  <c r="I17" i="5"/>
  <c r="G16" i="5"/>
  <c r="G15" i="5"/>
  <c r="G13" i="5"/>
  <c r="G12" i="5"/>
  <c r="G9" i="5"/>
  <c r="S22" i="5"/>
  <c r="D67" i="4"/>
  <c r="S21" i="5"/>
  <c r="X24" i="5"/>
  <c r="S24" i="5"/>
  <c r="G68" i="6"/>
  <c r="X23" i="5"/>
  <c r="S23" i="5"/>
  <c r="G65" i="6"/>
  <c r="H65" i="6" s="1"/>
  <c r="D65" i="6" s="1"/>
  <c r="G67" i="6"/>
  <c r="H67" i="6" s="1"/>
  <c r="D67" i="6" s="1"/>
  <c r="X20" i="5"/>
  <c r="S20" i="5"/>
  <c r="G43" i="4"/>
  <c r="B68" i="4"/>
  <c r="A49" i="6" s="1"/>
  <c r="G31" i="4"/>
  <c r="X18" i="5"/>
  <c r="X16" i="5"/>
  <c r="D43" i="4"/>
  <c r="D74" i="4"/>
  <c r="D37" i="4"/>
  <c r="D61" i="4"/>
  <c r="D49" i="4"/>
  <c r="D55" i="4"/>
  <c r="G66" i="6"/>
  <c r="X15" i="5"/>
  <c r="X14" i="5"/>
  <c r="S14" i="5"/>
  <c r="G14" i="5"/>
  <c r="B50" i="4"/>
  <c r="A34" i="6" s="1"/>
  <c r="B62" i="4"/>
  <c r="A44" i="6" s="1"/>
  <c r="B56" i="4"/>
  <c r="A39" i="6" s="1"/>
  <c r="G55" i="4"/>
  <c r="G74" i="4"/>
  <c r="G67" i="4"/>
  <c r="G37" i="4"/>
  <c r="G49" i="4"/>
  <c r="X11" i="5"/>
  <c r="X10" i="5"/>
  <c r="X9" i="5"/>
  <c r="I5" i="5"/>
  <c r="F5" i="5"/>
  <c r="H5" i="5"/>
  <c r="J5" i="5"/>
  <c r="E5" i="5"/>
  <c r="R5" i="5"/>
  <c r="B51" i="4"/>
  <c r="A35" i="6" s="1"/>
  <c r="B69" i="4"/>
  <c r="A50" i="6" s="1"/>
  <c r="B63" i="4"/>
  <c r="A45" i="6" s="1"/>
  <c r="A25" i="6"/>
  <c r="B35" i="4"/>
  <c r="A22" i="6" s="1"/>
  <c r="D17" i="6"/>
  <c r="K68" i="6"/>
  <c r="H27" i="6"/>
  <c r="D27" i="6" s="1"/>
  <c r="F68" i="6"/>
  <c r="F32" i="6"/>
  <c r="H32" i="6" s="1"/>
  <c r="D32" i="6" s="1"/>
  <c r="F52" i="6"/>
  <c r="H52" i="6" s="1"/>
  <c r="D52" i="6" s="1"/>
  <c r="F47" i="6"/>
  <c r="H47" i="6" s="1"/>
  <c r="D47" i="6" s="1"/>
  <c r="F37" i="6"/>
  <c r="H37" i="6" s="1"/>
  <c r="D37" i="6" s="1"/>
  <c r="F42" i="6"/>
  <c r="H42" i="6" s="1"/>
  <c r="D42" i="6" s="1"/>
  <c r="C17" i="6"/>
  <c r="C42" i="6"/>
  <c r="C22" i="6"/>
  <c r="C32" i="6"/>
  <c r="C16" i="6"/>
  <c r="K67" i="6"/>
  <c r="D16" i="6"/>
  <c r="C21" i="6"/>
  <c r="C51" i="6"/>
  <c r="C46" i="6"/>
  <c r="F36" i="6"/>
  <c r="H36" i="6" s="1"/>
  <c r="D36" i="6" s="1"/>
  <c r="C31" i="6"/>
  <c r="C26" i="6"/>
  <c r="F41" i="6"/>
  <c r="H41" i="6" s="1"/>
  <c r="D41" i="6" s="1"/>
  <c r="F46" i="6"/>
  <c r="H46" i="6" s="1"/>
  <c r="D46" i="6" s="1"/>
  <c r="D15" i="6"/>
  <c r="K66" i="6"/>
  <c r="F25" i="6"/>
  <c r="C15" i="6"/>
  <c r="C20" i="6"/>
  <c r="B79" i="4"/>
  <c r="A57" i="6" s="1"/>
  <c r="B75" i="4"/>
  <c r="A54" i="6" s="1"/>
  <c r="B81" i="4"/>
  <c r="A58" i="6" s="1"/>
  <c r="B77" i="4"/>
  <c r="A55" i="6" s="1"/>
  <c r="B67" i="4"/>
  <c r="A48" i="6" s="1"/>
  <c r="B83" i="4"/>
  <c r="A59" i="6" s="1"/>
  <c r="B43" i="4"/>
  <c r="A28" i="6" s="1"/>
  <c r="B49" i="4"/>
  <c r="A33" i="6" s="1"/>
  <c r="B61" i="4"/>
  <c r="A43" i="6" s="1"/>
  <c r="B85" i="4"/>
  <c r="A60" i="6" s="1"/>
  <c r="B31" i="4"/>
  <c r="A18" i="6" s="1"/>
  <c r="B55" i="4"/>
  <c r="A38" i="6" s="1"/>
  <c r="B89" i="4"/>
  <c r="A63" i="6" s="1"/>
  <c r="B87" i="4"/>
  <c r="A62" i="6" s="1"/>
  <c r="B37" i="4"/>
  <c r="A23" i="6" s="1"/>
  <c r="K65" i="6"/>
  <c r="D14" i="6"/>
  <c r="C34" i="6"/>
  <c r="C39" i="6"/>
  <c r="C24" i="6"/>
  <c r="C44" i="6"/>
  <c r="C14" i="6"/>
  <c r="B2" i="6"/>
  <c r="C49" i="6"/>
  <c r="C29" i="6"/>
  <c r="C19" i="6"/>
  <c r="C12" i="6"/>
  <c r="A14" i="6"/>
  <c r="B59" i="4"/>
  <c r="A42" i="6" s="1"/>
  <c r="C11" i="6"/>
  <c r="B71" i="4"/>
  <c r="A52" i="6" s="1"/>
  <c r="C10" i="6"/>
  <c r="B65" i="4"/>
  <c r="A47" i="6" s="1"/>
  <c r="C9" i="6"/>
  <c r="B53" i="4"/>
  <c r="A37" i="6" s="1"/>
  <c r="C8" i="6"/>
  <c r="C7" i="6"/>
  <c r="B33" i="4"/>
  <c r="A20" i="6" s="1"/>
  <c r="B64" i="4"/>
  <c r="A46" i="6" s="1"/>
  <c r="B58" i="4"/>
  <c r="A41" i="6" s="1"/>
  <c r="B52" i="4"/>
  <c r="A36" i="6" s="1"/>
  <c r="B70" i="4"/>
  <c r="A51" i="6" s="1"/>
  <c r="F6" i="6"/>
  <c r="H6" i="6" s="1"/>
  <c r="C5" i="6"/>
  <c r="B34" i="4"/>
  <c r="A21" i="6" s="1"/>
  <c r="C4" i="6"/>
  <c r="G64" i="6"/>
  <c r="S19" i="5"/>
  <c r="S18" i="5"/>
  <c r="S17" i="5"/>
  <c r="S16" i="5"/>
  <c r="S15" i="5"/>
  <c r="T14" i="5"/>
  <c r="S13" i="5"/>
  <c r="S12" i="5"/>
  <c r="S11" i="5"/>
  <c r="S10" i="5"/>
  <c r="S9" i="5"/>
  <c r="S8" i="5"/>
  <c r="S7" i="5"/>
  <c r="S6" i="5"/>
  <c r="S5" i="5"/>
  <c r="H68" i="6" l="1"/>
  <c r="C68" i="6" s="1"/>
  <c r="C65" i="6"/>
  <c r="C67" i="6"/>
  <c r="X5" i="5"/>
  <c r="G69" i="6" a="1"/>
  <c r="G69" i="6" s="1"/>
  <c r="H69" i="6" s="1"/>
  <c r="C27" i="6"/>
  <c r="C52" i="6"/>
  <c r="C47" i="6"/>
  <c r="C37" i="6"/>
  <c r="D68" i="6"/>
  <c r="C41" i="6"/>
  <c r="C36" i="6"/>
  <c r="F45" i="6"/>
  <c r="H45" i="6" s="1"/>
  <c r="F66" i="6"/>
  <c r="H66" i="6" s="1"/>
  <c r="F50" i="6"/>
  <c r="H50" i="6" s="1"/>
  <c r="F30" i="6"/>
  <c r="H30" i="6" s="1"/>
  <c r="H25" i="6"/>
  <c r="F35" i="6"/>
  <c r="H35" i="6" s="1"/>
  <c r="F54" i="6"/>
  <c r="F40" i="6"/>
  <c r="H40" i="6" s="1"/>
  <c r="D6" i="6"/>
  <c r="C6" i="6"/>
  <c r="B64" i="6"/>
  <c r="H64" i="6"/>
  <c r="T19" i="5"/>
  <c r="T18" i="5"/>
  <c r="T17" i="5"/>
  <c r="T16" i="5"/>
  <c r="T15" i="5"/>
  <c r="T13" i="5"/>
  <c r="T12" i="5"/>
  <c r="T11" i="5"/>
  <c r="T10" i="5"/>
  <c r="T9" i="5"/>
  <c r="T8" i="5"/>
  <c r="T7" i="5"/>
  <c r="T6" i="5"/>
  <c r="T5" i="5"/>
  <c r="D40" i="6" l="1"/>
  <c r="C40" i="6"/>
  <c r="F63" i="6"/>
  <c r="H63" i="6" s="1"/>
  <c r="F62" i="6"/>
  <c r="H62" i="6" s="1"/>
  <c r="F58" i="6"/>
  <c r="H58" i="6" s="1"/>
  <c r="F59" i="6"/>
  <c r="H59" i="6" s="1"/>
  <c r="F55" i="6"/>
  <c r="F60" i="6"/>
  <c r="H60" i="6" s="1"/>
  <c r="H54" i="6"/>
  <c r="F57" i="6"/>
  <c r="H57" i="6" s="1"/>
  <c r="D35" i="6"/>
  <c r="C35" i="6"/>
  <c r="D25" i="6"/>
  <c r="C25" i="6"/>
  <c r="D30" i="6"/>
  <c r="C30" i="6"/>
  <c r="D50" i="6"/>
  <c r="C50" i="6"/>
  <c r="C66" i="6"/>
  <c r="D66" i="6"/>
  <c r="D45" i="6"/>
  <c r="C45" i="6"/>
  <c r="C64" i="6"/>
  <c r="D64" i="6"/>
  <c r="D57" i="6" l="1"/>
  <c r="C57" i="6"/>
  <c r="D54" i="6"/>
  <c r="C54" i="6"/>
  <c r="D60" i="6"/>
  <c r="C60" i="6"/>
  <c r="F56" i="6"/>
  <c r="H56" i="6" s="1"/>
  <c r="H55" i="6"/>
  <c r="D59" i="6"/>
  <c r="C59" i="6"/>
  <c r="D58" i="6"/>
  <c r="C58" i="6"/>
  <c r="D62" i="6"/>
  <c r="C62" i="6"/>
  <c r="D63" i="6"/>
  <c r="C63"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<sst xmlns="http://schemas.openxmlformats.org/spreadsheetml/2006/main" count="22575" uniqueCount="15893">
  <si>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</si>
  <si>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</si>
  <si>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</si>
  <si>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</si>
  <si>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</si>
  <si>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</si>
  <si>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</si>
  <si>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</si>
  <si>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</si>
  <si>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</si>
  <si>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</si>
  <si>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</si>
  <si>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</si>
  <si>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</si>
  <si>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</si>
  <si>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</si>
  <si>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</si>
  <si>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</si>
  <si>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</si>
  <si>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</si>
  <si>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</si>
  <si>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</si>
  <si>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</si>
  <si>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</si>
  <si>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</si>
  <si>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</si>
  <si>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</si>
  <si>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</si>
  <si>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</si>
  <si>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</si>
  <si>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</si>
  <si>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</si>
  <si>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</si>
  <si>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</si>
  <si>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</si>
  <si>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</si>
  <si>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</si>
  <si>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</si>
  <si>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</si>
  <si>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</si>
  <si>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</si>
  <si>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</si>
  <si>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</si>
  <si>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</si>
  <si>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</si>
  <si>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</si>
  <si>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</si>
  <si>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</si>
  <si>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</si>
  <si>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</si>
  <si>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</si>
  <si>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</si>
  <si>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</si>
  <si>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</si>
  <si>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</si>
  <si>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</si>
  <si>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</si>
  <si>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</si>
  <si>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</si>
  <si>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</si>
  <si>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</si>
  <si>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</si>
  <si>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</si>
  <si>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</si>
  <si>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</si>
  <si>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</si>
  <si>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</si>
  <si>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</si>
  <si>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</si>
  <si>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</si>
  <si>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</si>
  <si>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</si>
  <si>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</si>
  <si>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</si>
  <si>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</si>
  <si>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</si>
  <si>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</si>
  <si>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</si>
  <si>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</si>
  <si>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</si>
  <si>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</si>
  <si>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</si>
  <si>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</si>
  <si>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</si>
  <si>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</si>
  <si>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</si>
  <si>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</si>
  <si>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</si>
  <si>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</si>
  <si>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</si>
  <si>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</si>
  <si>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</si>
  <si>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</si>
  <si>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</si>
  <si>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</si>
  <si>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</si>
  <si>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</si>
  <si>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</si>
  <si>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</si>
  <si>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</si>
  <si>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</si>
  <si>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</si>
  <si>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</si>
  <si>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</si>
  <si>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</si>
  <si>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</si>
  <si>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</si>
  <si>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</si>
  <si>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</si>
  <si>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</si>
  <si>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</si>
  <si>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</si>
  <si>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</si>
  <si>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</si>
  <si>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</si>
  <si>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</si>
  <si>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</si>
  <si>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</si>
  <si>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</si>
  <si>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</si>
  <si>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</si>
  <si>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</si>
  <si>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</si>
  <si>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</si>
  <si>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</si>
  <si>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</si>
  <si>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</si>
  <si>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</si>
  <si>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</si>
  <si>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</si>
  <si>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</si>
  <si>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</si>
  <si>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</si>
  <si>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</si>
  <si>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</si>
  <si>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</si>
  <si>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</si>
  <si>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</si>
  <si>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</si>
  <si>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</si>
  <si>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</si>
  <si>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</si>
  <si>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</si>
  <si>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</si>
  <si>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</si>
  <si>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</si>
  <si>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</si>
  <si>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</si>
  <si>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</si>
  <si>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</si>
  <si>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</si>
  <si>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</si>
  <si>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</si>
  <si>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</si>
  <si>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</si>
  <si>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</si>
  <si>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</si>
  <si>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</si>
  <si>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</si>
  <si>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</si>
  <si>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</si>
  <si>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</si>
  <si>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</si>
  <si>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</si>
  <si>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</si>
  <si>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</si>
  <si>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</si>
  <si>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</si>
  <si>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</si>
  <si>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</si>
  <si>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</si>
  <si>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</si>
  <si>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</si>
  <si>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</si>
  <si>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</si>
  <si>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</si>
  <si>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</si>
  <si>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</si>
  <si>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</si>
  <si>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</si>
  <si>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</si>
  <si>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</si>
  <si>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</si>
  <si>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</si>
  <si>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</si>
  <si>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</si>
  <si>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</si>
  <si>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</si>
  <si>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</si>
  <si>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</si>
  <si>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</si>
  <si>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</si>
  <si>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</si>
  <si>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</si>
  <si>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</si>
  <si>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</si>
  <si>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</si>
  <si>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</si>
  <si>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</si>
  <si>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</si>
  <si>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</si>
  <si>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</si>
  <si>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</si>
  <si>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</si>
  <si>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</si>
  <si>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</si>
  <si>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</si>
  <si>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</si>
  <si>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</si>
  <si>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</si>
  <si>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</si>
  <si>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</si>
  <si>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</si>
  <si>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</si>
  <si>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</si>
  <si>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</si>
  <si>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</si>
  <si>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</si>
  <si>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</si>
  <si>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</si>
  <si>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</si>
  <si>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</si>
  <si>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</si>
  <si>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</si>
  <si>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</si>
  <si>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</si>
  <si>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</si>
  <si>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</si>
  <si>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</si>
  <si>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</si>
  <si>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</si>
  <si>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</si>
  <si>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</si>
  <si>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</si>
  <si>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</si>
  <si>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</si>
  <si>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</si>
  <si>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</si>
  <si>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</si>
  <si>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</si>
  <si>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</si>
  <si>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</si>
  <si>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</si>
  <si>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</si>
  <si>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</si>
  <si>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</si>
  <si>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</si>
  <si>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</si>
  <si>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</si>
  <si>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</si>
  <si>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</si>
  <si>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</si>
  <si>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</si>
  <si>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</si>
  <si>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</si>
  <si>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</si>
  <si>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</si>
  <si>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</si>
  <si>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</si>
  <si>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</si>
  <si>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</si>
  <si>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</si>
  <si>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</si>
  <si>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</si>
  <si>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</si>
  <si>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</si>
  <si>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</si>
  <si>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</si>
  <si>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</si>
  <si>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</si>
  <si>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</si>
  <si>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</si>
  <si>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</si>
  <si>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</si>
  <si>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</si>
  <si>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</si>
  <si>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</si>
  <si>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</si>
  <si>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</si>
  <si>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</si>
  <si>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</si>
  <si>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</si>
  <si>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</si>
  <si>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</si>
  <si>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</si>
  <si>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</si>
  <si>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</si>
  <si>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</si>
  <si>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</si>
  <si>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</si>
  <si>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</si>
  <si>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</si>
  <si>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</si>
  <si>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</si>
  <si>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</si>
  <si>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</si>
  <si>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</si>
  <si>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</si>
  <si>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</si>
  <si>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</si>
  <si>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</si>
  <si>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</si>
  <si>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</si>
  <si>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</si>
  <si>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</si>
  <si>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</si>
  <si>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</si>
  <si>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</si>
  <si>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</si>
  <si>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</si>
  <si>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</si>
  <si>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</si>
  <si>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</si>
  <si>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</si>
  <si>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</si>
  <si>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</si>
  <si>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</si>
  <si>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</si>
  <si>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</si>
  <si>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</si>
  <si>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</si>
  <si>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</si>
  <si>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</si>
  <si>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</si>
  <si>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</si>
  <si>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</si>
  <si>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</si>
  <si>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</si>
  <si>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</si>
  <si>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</si>
  <si>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</si>
  <si>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</si>
  <si>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</si>
  <si>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</si>
  <si>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</si>
  <si>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</si>
  <si>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</si>
  <si>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</si>
  <si>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</si>
  <si>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</si>
  <si>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</si>
  <si>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</si>
  <si>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</si>
  <si>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</si>
  <si>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</si>
  <si>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</si>
  <si>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</si>
  <si>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</si>
  <si>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</si>
  <si>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</si>
  <si>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</si>
  <si>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</si>
  <si>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</si>
  <si>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</si>
  <si>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</si>
  <si>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</si>
  <si>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</si>
  <si>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</si>
  <si>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</si>
  <si>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</si>
  <si>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</si>
  <si>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</si>
  <si>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</si>
  <si>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</si>
  <si>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</si>
  <si>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</si>
  <si>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</si>
  <si>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</si>
  <si>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</si>
  <si>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</si>
  <si>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</si>
  <si>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</si>
  <si>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</si>
  <si>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</si>
  <si>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</si>
  <si>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</si>
  <si>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</si>
  <si>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</si>
  <si>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</si>
  <si>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</si>
  <si>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</si>
  <si>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</si>
  <si>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</si>
  <si>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</si>
  <si>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</si>
  <si>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</si>
  <si>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</si>
  <si>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</si>
  <si>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</si>
  <si>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</si>
  <si>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</si>
  <si>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</si>
  <si>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</si>
  <si>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</si>
  <si>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</si>
  <si>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</si>
  <si>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</si>
  <si>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</si>
  <si>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</si>
  <si>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</si>
  <si>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</si>
  <si>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</si>
  <si>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</si>
  <si>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</si>
  <si>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</si>
  <si>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</si>
  <si>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</si>
  <si>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</si>
  <si>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</si>
  <si>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</si>
  <si>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</si>
  <si>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</si>
  <si>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</si>
  <si>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</si>
  <si>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</si>
  <si>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</si>
  <si>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</si>
  <si>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</si>
  <si>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</si>
  <si>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</si>
  <si>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</si>
  <si>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</si>
  <si>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</si>
  <si>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</si>
  <si>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</si>
  <si>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</si>
  <si>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</si>
  <si>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</si>
  <si>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</si>
  <si>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</si>
  <si>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</si>
  <si>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</si>
  <si>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</si>
  <si>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</si>
  <si>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</si>
  <si>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</si>
  <si>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</si>
  <si>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</si>
  <si>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</si>
  <si>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</si>
  <si>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</si>
  <si>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</si>
  <si>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</si>
  <si>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</si>
  <si>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</si>
  <si>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</si>
  <si>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</si>
  <si>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</si>
  <si>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</si>
  <si>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</si>
  <si>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</si>
  <si>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</si>
  <si>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</si>
  <si>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</si>
  <si>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</si>
  <si>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</si>
  <si>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</si>
  <si>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</si>
  <si>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</si>
  <si>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</si>
  <si>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</si>
  <si>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</si>
  <si>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</si>
  <si>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</si>
  <si>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</si>
  <si>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</si>
  <si>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</si>
  <si>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</si>
  <si>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</si>
  <si>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</si>
  <si>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</si>
  <si>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</si>
  <si>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</si>
  <si>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</si>
  <si>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</si>
  <si>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</si>
  <si>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</si>
  <si>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</si>
  <si>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</si>
  <si>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</si>
  <si>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</si>
  <si>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</si>
  <si>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</si>
  <si>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</si>
  <si>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</si>
  <si>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</si>
  <si>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</si>
  <si>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</si>
  <si>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</si>
  <si>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</si>
  <si>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</si>
  <si>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</si>
  <si>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</si>
  <si>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</si>
  <si>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</si>
  <si>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</si>
  <si>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</si>
  <si>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</si>
  <si>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</si>
  <si>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</si>
  <si>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</si>
  <si>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</si>
  <si>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</si>
  <si>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</si>
  <si>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</si>
  <si>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</si>
  <si>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</si>
  <si>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</si>
  <si>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</si>
  <si>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</si>
  <si>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</si>
  <si>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</si>
  <si>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</si>
  <si>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</si>
  <si>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</si>
  <si>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</si>
  <si>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</si>
  <si>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</si>
  <si>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</si>
  <si>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</si>
  <si>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</si>
  <si>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</si>
  <si>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</si>
  <si>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</si>
  <si>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</si>
  <si>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</si>
  <si>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</si>
  <si>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</si>
  <si>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</si>
  <si>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</si>
  <si>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</si>
  <si>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</si>
  <si>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</si>
  <si>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</si>
  <si>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</si>
  <si>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</si>
  <si>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</si>
  <si>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</si>
  <si>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</si>
  <si>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</si>
  <si>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</si>
  <si>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</si>
  <si>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</si>
  <si>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</si>
  <si>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</si>
  <si>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</si>
  <si>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</si>
  <si>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</si>
  <si>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</si>
  <si>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</si>
  <si>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</si>
  <si>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</si>
  <si>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</si>
  <si>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</si>
  <si>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</si>
  <si>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</si>
  <si>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</si>
  <si>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</si>
  <si>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</si>
  <si>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</si>
  <si>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</si>
  <si>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</si>
  <si>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</si>
  <si>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</si>
  <si>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</si>
  <si>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</si>
  <si>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</si>
  <si>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</si>
  <si>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</si>
  <si>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</si>
  <si>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</si>
  <si>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</si>
  <si>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</si>
  <si>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</si>
  <si>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</si>
  <si>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</si>
  <si>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</si>
  <si>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</si>
  <si>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</si>
  <si>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</si>
  <si>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</si>
  <si>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</si>
  <si>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</si>
  <si>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</si>
  <si>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</si>
  <si>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</si>
  <si>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</si>
  <si>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</si>
  <si>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</si>
  <si>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</si>
  <si>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</si>
  <si>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</si>
  <si>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</si>
  <si>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</si>
  <si>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</si>
  <si>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</si>
  <si>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</si>
  <si>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</si>
  <si>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</si>
  <si>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</si>
  <si>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</si>
  <si>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</si>
  <si>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</si>
  <si>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</si>
  <si>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</si>
  <si>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</si>
  <si>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</si>
  <si>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</si>
  <si>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</si>
  <si>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</si>
  <si>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</si>
  <si>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</si>
  <si>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</si>
  <si>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</si>
  <si>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</si>
  <si>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</si>
  <si>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</si>
  <si>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</si>
  <si>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</si>
  <si>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</si>
  <si>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</si>
  <si>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</si>
  <si>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</si>
  <si>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</si>
  <si>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</si>
  <si>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</si>
  <si>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</si>
  <si>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</si>
  <si>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</si>
  <si>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</si>
  <si>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</si>
  <si>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</si>
  <si>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</si>
  <si>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</si>
  <si>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</si>
  <si>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</si>
  <si>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</si>
  <si>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</si>
  <si>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</si>
  <si>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</si>
  <si>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</si>
  <si>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</si>
  <si>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</si>
  <si>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</si>
  <si>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</si>
  <si>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</si>
  <si>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</si>
  <si>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</si>
  <si>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</si>
  <si>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</si>
  <si>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</si>
  <si>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</si>
  <si>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</si>
  <si>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</si>
  <si>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</si>
  <si>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</si>
  <si>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</si>
  <si>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</si>
  <si>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</si>
  <si>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</si>
  <si>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</si>
  <si>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</si>
  <si>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</si>
  <si>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</si>
  <si>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</si>
  <si>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</si>
  <si>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</si>
  <si>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</si>
  <si>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</si>
  <si>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</si>
  <si>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</si>
  <si>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</si>
  <si>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</si>
  <si>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</si>
  <si>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</si>
  <si>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</si>
  <si>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</si>
  <si>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</si>
  <si>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</si>
  <si>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</si>
  <si>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</si>
  <si>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</si>
  <si>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</si>
  <si>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</si>
  <si>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</si>
  <si>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</si>
  <si>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</si>
  <si>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</si>
  <si>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</si>
  <si>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</si>
  <si>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</si>
  <si>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</si>
  <si>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</si>
  <si>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</si>
  <si>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</si>
  <si>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</si>
  <si>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</si>
  <si>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</si>
  <si>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</si>
  <si>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</si>
  <si>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</si>
  <si>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</si>
  <si>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</si>
  <si>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</si>
  <si>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</si>
  <si>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</si>
  <si>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</si>
  <si>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</si>
  <si>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</si>
  <si>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</si>
  <si>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</si>
  <si>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</si>
  <si>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</si>
  <si>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</si>
  <si>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</si>
  <si>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</si>
  <si>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</si>
  <si>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</si>
  <si>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</si>
  <si>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</si>
  <si>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</si>
  <si>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</si>
  <si>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</si>
  <si>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</si>
  <si>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</si>
  <si>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</si>
  <si>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</si>
  <si>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</si>
  <si>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</si>
  <si>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</si>
  <si>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</si>
  <si>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</si>
  <si>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</si>
  <si>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</si>
  <si>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</si>
  <si>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</si>
  <si>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</si>
  <si>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</si>
  <si>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</si>
  <si>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</si>
  <si>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</si>
  <si>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</si>
  <si>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</si>
  <si>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</si>
  <si>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</si>
  <si>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</si>
  <si>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</si>
  <si>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</si>
  <si>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</si>
  <si>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</si>
  <si>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</si>
  <si>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</si>
  <si>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</si>
  <si>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</si>
  <si>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</si>
  <si>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</si>
  <si>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</si>
  <si>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</si>
  <si>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</si>
  <si>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</si>
  <si>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</si>
  <si>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</si>
  <si>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</si>
  <si>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</si>
  <si>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</si>
  <si>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</si>
  <si>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</si>
  <si>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</si>
  <si>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</si>
  <si>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</si>
  <si>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</si>
  <si>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</si>
  <si>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</si>
  <si>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</si>
  <si>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</si>
  <si>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</si>
  <si>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</si>
  <si>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</si>
  <si>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</si>
  <si>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</si>
  <si>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</si>
  <si>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</si>
  <si>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</si>
  <si>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</si>
  <si>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</si>
  <si>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</si>
  <si>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</si>
  <si>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</si>
  <si>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</si>
  <si>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</si>
  <si>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</si>
  <si>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</si>
  <si>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</si>
  <si>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</si>
  <si>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</si>
  <si>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</si>
  <si>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</si>
  <si>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</si>
  <si>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</si>
  <si>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</si>
  <si>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</si>
  <si>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</si>
  <si>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</si>
  <si>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</si>
  <si>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</si>
  <si>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</si>
  <si>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</si>
  <si>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</si>
  <si>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</si>
  <si>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</si>
  <si>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</si>
  <si>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</si>
  <si>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</si>
  <si>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</si>
  <si>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</si>
  <si>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</si>
  <si>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</si>
  <si>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</si>
  <si>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</si>
  <si>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</si>
  <si>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</si>
  <si>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</si>
  <si>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</si>
  <si>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</si>
  <si>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</si>
  <si>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</si>
  <si>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</si>
  <si>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</si>
  <si>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</si>
  <si>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</si>
  <si>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</si>
  <si>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</si>
  <si>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</si>
  <si>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</si>
  <si>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</si>
  <si>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</si>
  <si>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</si>
  <si>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</si>
  <si>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</si>
  <si>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</si>
  <si>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</si>
  <si>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</si>
  <si>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</si>
  <si>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</si>
  <si>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</si>
  <si>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</si>
  <si>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</si>
  <si>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</si>
  <si>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</si>
  <si>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</si>
  <si>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</si>
  <si>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</si>
  <si>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</si>
  <si>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</si>
  <si>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</si>
  <si>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</si>
  <si>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</si>
  <si>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</si>
  <si>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</si>
  <si>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</si>
  <si>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</si>
  <si>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</si>
  <si>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</si>
  <si>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</si>
  <si>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</si>
  <si>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</si>
  <si>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</si>
  <si>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</si>
  <si>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</si>
  <si>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</si>
  <si>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</si>
  <si>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</si>
  <si>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</si>
  <si>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</si>
  <si>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</si>
  <si>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</si>
  <si>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</si>
  <si>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</si>
  <si>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</si>
  <si>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</si>
  <si>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</si>
  <si>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</si>
  <si>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</si>
  <si>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</si>
  <si>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</si>
  <si>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</si>
  <si>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</si>
  <si>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</si>
  <si>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</si>
  <si>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</si>
  <si>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</si>
  <si>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</si>
  <si>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</si>
  <si>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</si>
  <si>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</si>
  <si>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</si>
  <si>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</si>
  <si>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</si>
  <si>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</si>
  <si>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</si>
  <si>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</si>
  <si>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</si>
  <si>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</si>
  <si>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</si>
  <si>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</si>
  <si>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</si>
  <si>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</si>
  <si>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</si>
  <si>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</si>
  <si>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</si>
  <si>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</si>
  <si>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</si>
  <si>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</si>
  <si>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</si>
  <si>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</si>
  <si>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</si>
  <si>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</si>
  <si>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</si>
  <si>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</si>
  <si>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</si>
  <si>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</si>
  <si>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</si>
  <si>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</si>
  <si>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</si>
  <si>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</si>
  <si>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</si>
  <si>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</si>
  <si>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</si>
  <si>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</si>
  <si>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</si>
  <si>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</si>
  <si>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</si>
  <si>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</si>
  <si>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</si>
  <si>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</si>
  <si>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</si>
  <si>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</si>
  <si>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</si>
  <si>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</si>
  <si>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</si>
  <si>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</si>
  <si>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</si>
  <si>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</si>
  <si>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</si>
  <si>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</si>
  <si>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</si>
  <si>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</si>
  <si>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</si>
  <si>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</si>
  <si>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</si>
  <si>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</si>
  <si>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</si>
  <si>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</si>
  <si>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</si>
  <si>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</si>
  <si>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</si>
  <si>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</si>
  <si>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</si>
  <si>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</si>
  <si>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</si>
  <si>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</si>
  <si>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</si>
  <si>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</si>
  <si>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</si>
  <si>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</si>
  <si>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</si>
  <si>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</si>
  <si>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</si>
  <si>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</si>
  <si>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</si>
  <si>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</si>
  <si>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</si>
  <si>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</si>
  <si>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</si>
  <si>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</si>
  <si>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</si>
  <si>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</si>
  <si>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</si>
  <si>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</si>
  <si>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</si>
  <si>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</si>
  <si>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</si>
  <si>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</si>
  <si>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</si>
  <si>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</si>
  <si>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</si>
  <si>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</si>
  <si>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</si>
  <si>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</si>
  <si>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</si>
  <si>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</si>
  <si>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</si>
  <si>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</si>
  <si>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</si>
  <si>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</si>
  <si>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</si>
  <si>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</si>
  <si>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</si>
  <si>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</si>
  <si>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</si>
  <si>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</si>
  <si>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</si>
  <si>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</si>
  <si>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</si>
  <si>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</si>
  <si>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</si>
  <si>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</si>
  <si>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</si>
  <si>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</si>
  <si>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</si>
  <si>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</si>
  <si>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</si>
  <si>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</si>
  <si>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</si>
  <si>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</si>
  <si>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</si>
  <si>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</si>
  <si>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</si>
  <si>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</si>
  <si>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</si>
  <si>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</si>
  <si>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</si>
  <si>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</si>
  <si>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</si>
  <si>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</si>
  <si>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</si>
  <si>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</si>
  <si>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</si>
  <si>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</si>
  <si>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</si>
  <si>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</si>
  <si>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</si>
  <si>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</si>
  <si>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</si>
  <si>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</si>
  <si>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</si>
  <si>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</si>
  <si>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</si>
  <si>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</si>
  <si>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</si>
  <si>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</si>
  <si>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</si>
  <si>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</si>
  <si>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</si>
  <si>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</si>
  <si>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</si>
  <si>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</si>
  <si>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</si>
  <si>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</si>
  <si>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</si>
  <si>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</si>
  <si>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</si>
  <si>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</si>
  <si>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</si>
  <si>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</si>
  <si>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</si>
  <si>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</si>
  <si>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</si>
  <si>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</si>
  <si>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</si>
  <si>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</si>
  <si>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</si>
  <si>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</si>
  <si>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</si>
  <si>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</si>
  <si>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</si>
  <si>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</si>
  <si>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</si>
  <si>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</si>
  <si>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</si>
  <si>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</si>
  <si>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</si>
  <si>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</si>
  <si>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</si>
  <si>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</si>
  <si>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</si>
  <si>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</si>
  <si>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</si>
  <si>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</si>
  <si>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</si>
  <si>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</si>
  <si>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</si>
  <si>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</si>
  <si>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</si>
  <si>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</si>
  <si>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</si>
  <si>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</si>
  <si>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</si>
  <si>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</si>
  <si>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</si>
  <si>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</si>
  <si>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</si>
  <si>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</si>
  <si>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</si>
  <si>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</si>
  <si>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</si>
  <si>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</si>
  <si>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</si>
  <si>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</si>
  <si>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</si>
  <si>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</si>
  <si>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</si>
  <si>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</si>
  <si>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</si>
  <si>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</si>
  <si>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</si>
  <si>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</si>
  <si>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</si>
  <si>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</si>
  <si>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</si>
  <si>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</si>
  <si>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</si>
  <si>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</si>
  <si>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</si>
  <si>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</si>
  <si>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</si>
  <si>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</si>
  <si>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</si>
  <si>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</si>
  <si>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</si>
  <si>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</si>
  <si>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</si>
  <si>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</si>
  <si>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</si>
  <si>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</si>
  <si>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</si>
  <si>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</si>
  <si>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</si>
  <si>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</si>
  <si>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</si>
  <si>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</si>
  <si>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</si>
  <si>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</si>
  <si>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</si>
  <si>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</si>
  <si>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</si>
  <si>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</si>
  <si>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</si>
  <si>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</si>
  <si>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</si>
  <si>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</si>
  <si>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</si>
  <si>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</si>
  <si>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</si>
  <si>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</si>
  <si>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</si>
  <si>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</si>
  <si>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</si>
  <si>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</si>
  <si>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</si>
  <si>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</si>
  <si>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</si>
  <si>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</si>
  <si>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</si>
  <si>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</si>
  <si>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</si>
  <si>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</si>
  <si>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</si>
  <si>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</si>
  <si>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</si>
  <si>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</si>
  <si>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</si>
  <si>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</si>
  <si>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</si>
  <si>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</si>
  <si>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</si>
  <si>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</si>
  <si>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</si>
  <si>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</si>
  <si>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</si>
  <si>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</si>
  <si>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</si>
  <si>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</si>
  <si>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</si>
  <si>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</si>
  <si>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</si>
  <si>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</si>
  <si>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</si>
  <si>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</si>
  <si>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</si>
  <si>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</si>
  <si>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</si>
  <si>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</si>
  <si>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</si>
  <si>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</si>
  <si>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</si>
  <si>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</si>
  <si>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</si>
  <si>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</si>
  <si>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</si>
  <si>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</si>
  <si>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</si>
  <si>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</si>
  <si>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</si>
  <si>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</si>
  <si>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</si>
  <si>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</si>
  <si>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</si>
  <si>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</si>
  <si>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</si>
  <si>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</si>
  <si>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</si>
  <si>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</si>
  <si>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</si>
  <si>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</si>
  <si>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</si>
  <si>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</si>
  <si>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</si>
  <si>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</si>
  <si>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</si>
  <si>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</si>
  <si>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</si>
  <si>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</si>
  <si>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</si>
  <si>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</si>
  <si>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</si>
  <si>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</si>
  <si>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</si>
  <si>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</si>
  <si>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</si>
  <si>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</si>
  <si>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</si>
  <si>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</si>
  <si>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</si>
  <si>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</si>
  <si>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</si>
  <si>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</si>
  <si>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</si>
  <si>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</si>
  <si>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</si>
  <si>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</si>
  <si>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</si>
  <si>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</si>
  <si>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</si>
  <si>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</si>
  <si>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</si>
  <si>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</si>
  <si>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</si>
  <si>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</si>
  <si>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</si>
  <si>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</si>
  <si>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</si>
  <si>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</si>
  <si>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</si>
  <si>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</si>
  <si>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</si>
  <si>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</si>
  <si>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</si>
  <si>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</si>
  <si>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</si>
  <si>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</si>
  <si>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</si>
  <si>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</si>
  <si>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</si>
  <si>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</si>
  <si>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</si>
  <si>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</si>
  <si>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</si>
  <si>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</si>
  <si>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</si>
  <si>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</si>
  <si>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</si>
  <si>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</si>
  <si>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</si>
  <si>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</si>
  <si>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</si>
  <si>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</si>
  <si>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</si>
  <si>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</si>
  <si>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</si>
  <si>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</si>
  <si>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</si>
  <si>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</si>
  <si>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</si>
  <si>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</si>
  <si>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</si>
  <si>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</si>
  <si>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</si>
  <si>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</si>
  <si>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</si>
  <si>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</si>
  <si>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</si>
  <si>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</si>
  <si>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</si>
  <si>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</si>
  <si>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</si>
  <si>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</si>
  <si>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</si>
  <si>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</si>
  <si>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</si>
  <si>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</si>
  <si>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</si>
  <si>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</si>
  <si>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</si>
  <si>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</si>
  <si>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</si>
  <si>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</si>
  <si>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</si>
  <si>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</si>
  <si>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</si>
  <si>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</si>
  <si>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</si>
  <si>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</si>
  <si>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</si>
  <si>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</si>
  <si>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</si>
  <si>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</si>
  <si>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</si>
  <si>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</si>
  <si>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</si>
  <si>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</si>
  <si>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</si>
  <si>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</si>
  <si>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</si>
  <si>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</si>
  <si>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</si>
  <si>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</si>
  <si>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</si>
  <si>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</si>
  <si>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</si>
  <si>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</si>
  <si>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</si>
  <si>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</si>
  <si>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</si>
  <si>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</si>
  <si>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</si>
  <si>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</si>
  <si>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</si>
  <si>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</si>
  <si>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</si>
  <si>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</si>
  <si>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</si>
  <si>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</si>
  <si>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</si>
  <si>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</si>
  <si>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</si>
  <si>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</si>
  <si>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</si>
  <si>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</si>
  <si>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</si>
  <si>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</si>
  <si>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</si>
  <si>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</si>
  <si>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</si>
  <si>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</si>
  <si>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</si>
  <si>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</si>
  <si>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</si>
  <si>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</si>
  <si>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</si>
  <si>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</si>
  <si>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</si>
  <si>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</si>
  <si>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</si>
  <si>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</si>
  <si>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</si>
  <si>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</si>
  <si>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</si>
  <si>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</si>
  <si>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</si>
  <si>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</si>
  <si>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</si>
  <si>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</si>
  <si>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</si>
  <si>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</si>
  <si>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</si>
  <si>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</si>
  <si>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</si>
  <si>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</si>
  <si>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</si>
  <si>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</si>
  <si>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</si>
  <si>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</si>
  <si>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</si>
  <si>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</si>
  <si>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</si>
  <si>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</si>
  <si>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</si>
  <si>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</si>
  <si>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</si>
  <si>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</si>
  <si>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</si>
  <si>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</si>
  <si>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</si>
  <si>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</si>
  <si>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</si>
  <si>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</si>
  <si>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</si>
  <si>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</si>
  <si>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</si>
  <si>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</si>
  <si>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</si>
  <si>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</si>
  <si>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</si>
  <si>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</si>
  <si>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</si>
  <si>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</si>
  <si>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</si>
  <si>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</si>
  <si>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</si>
  <si>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</si>
  <si>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</si>
  <si>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</si>
  <si>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</si>
  <si>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</si>
  <si>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</si>
  <si>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</si>
  <si>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</si>
  <si>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</si>
  <si>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</si>
  <si>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</si>
  <si>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</si>
  <si>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</si>
  <si>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</si>
  <si>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</si>
  <si>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</si>
  <si>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</si>
  <si>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</si>
  <si>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</si>
  <si>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</si>
  <si>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</si>
  <si>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</si>
  <si>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</si>
  <si>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</si>
  <si>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</si>
  <si>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</si>
  <si>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</si>
  <si>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</si>
  <si>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</si>
  <si>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</si>
  <si>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</si>
  <si>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</si>
  <si>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</si>
  <si>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</si>
  <si>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</si>
  <si>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</si>
  <si>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</si>
  <si>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</si>
  <si>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</si>
  <si>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</si>
  <si>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</si>
  <si>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</si>
  <si>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</si>
  <si>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</si>
  <si>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</si>
  <si>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</si>
  <si>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</si>
  <si>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</si>
  <si>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</si>
  <si>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</si>
  <si>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</si>
  <si>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</si>
  <si>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</si>
  <si>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</si>
  <si>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</si>
  <si>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</si>
  <si>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</si>
  <si>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</si>
  <si>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</si>
  <si>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</si>
  <si>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</si>
  <si>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</si>
  <si>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</si>
  <si>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</si>
  <si>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</si>
  <si>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</si>
  <si>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</si>
  <si>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</si>
  <si>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</si>
  <si>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</si>
  <si>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</si>
  <si>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</si>
  <si>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</si>
  <si>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</si>
  <si>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</si>
  <si>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</si>
  <si>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</si>
  <si>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</si>
  <si>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</si>
  <si>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</si>
  <si>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</si>
  <si>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</si>
  <si>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</si>
  <si>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</si>
  <si>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</si>
  <si>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</si>
  <si>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</si>
  <si>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</si>
  <si>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</si>
  <si>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</si>
  <si>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</si>
  <si>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</si>
  <si>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</si>
  <si>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</si>
  <si>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</si>
  <si>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</si>
  <si>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</si>
  <si>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</si>
  <si>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</si>
  <si>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</si>
  <si>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</si>
  <si>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</si>
  <si>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</si>
  <si>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</si>
  <si>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</si>
  <si>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</si>
  <si>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</si>
  <si>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</si>
  <si>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</si>
  <si>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</si>
  <si>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</si>
  <si>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</si>
  <si>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</si>
  <si>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</si>
  <si>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</si>
  <si>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</si>
  <si>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</si>
  <si>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</si>
  <si>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</si>
  <si>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</si>
  <si>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</si>
  <si>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</si>
  <si>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</si>
  <si>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</si>
  <si>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</si>
  <si>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</si>
  <si>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</si>
  <si>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</si>
  <si>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</si>
  <si>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</si>
  <si>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</si>
  <si>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</si>
  <si>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</si>
  <si>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</si>
  <si>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</si>
  <si>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</si>
  <si>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</si>
  <si>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</si>
  <si>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</si>
  <si>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</si>
  <si>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</si>
  <si>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</si>
  <si>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</si>
  <si>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</si>
  <si>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</si>
  <si>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</si>
  <si>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</si>
  <si>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</si>
  <si>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</si>
  <si>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</si>
  <si>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</si>
  <si>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</si>
  <si>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</si>
  <si>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</si>
  <si>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</si>
  <si>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</si>
  <si>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</si>
  <si>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</si>
  <si>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</si>
  <si>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</si>
  <si>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</si>
  <si>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</si>
  <si>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</si>
  <si>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</si>
  <si>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</si>
  <si>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</si>
  <si>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</si>
  <si>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</si>
  <si>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</si>
  <si>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</si>
  <si>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</si>
  <si>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</si>
  <si>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</si>
  <si>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</si>
  <si>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</si>
  <si>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</si>
  <si>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</si>
  <si>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</si>
  <si>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</si>
  <si>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</si>
  <si>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</si>
  <si>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</si>
  <si>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</si>
  <si>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</si>
  <si>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</si>
  <si>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</si>
  <si>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</si>
  <si>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</si>
  <si>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</si>
  <si>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</si>
  <si>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</si>
  <si>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</si>
  <si>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</si>
  <si>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</si>
  <si>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</si>
  <si>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</si>
  <si>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</si>
  <si>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</si>
  <si>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</si>
  <si>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</si>
  <si>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</si>
  <si>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</si>
  <si>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</si>
  <si>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</si>
  <si>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</si>
  <si>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</si>
  <si>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</si>
  <si>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</si>
  <si>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</si>
  <si>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</si>
  <si>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</si>
  <si>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</si>
  <si>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</si>
  <si>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</si>
  <si>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</si>
  <si>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</si>
  <si>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</si>
  <si>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</si>
  <si>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</si>
  <si>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</si>
  <si>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</si>
  <si>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</si>
  <si>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</si>
  <si>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</si>
  <si>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</si>
  <si>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</si>
  <si>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</si>
  <si>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</si>
  <si>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</si>
  <si>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</si>
  <si>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</si>
  <si>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</si>
  <si>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</si>
  <si>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</si>
  <si>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</si>
  <si>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</si>
  <si>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</si>
  <si>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</si>
  <si>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</si>
  <si>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</si>
  <si>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</si>
  <si>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</si>
  <si>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</si>
  <si>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</si>
  <si>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</si>
  <si>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</si>
  <si>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</si>
  <si>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</si>
  <si>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</si>
  <si>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</si>
  <si>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</si>
  <si>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</si>
  <si>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</si>
  <si>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</si>
  <si>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</si>
  <si>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</si>
  <si>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</si>
  <si>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</si>
  <si>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</si>
  <si>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</si>
  <si>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</si>
  <si>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</si>
  <si>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</si>
  <si>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</si>
  <si>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</si>
  <si>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</si>
  <si>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</si>
  <si>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</si>
  <si>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</si>
  <si>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</si>
  <si>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</si>
  <si>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</si>
  <si>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</si>
  <si>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</si>
  <si>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</si>
  <si>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</si>
  <si>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</si>
  <si>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</si>
  <si>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</si>
  <si>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</si>
  <si>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</si>
  <si>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</si>
  <si>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</si>
  <si>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</si>
  <si>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</si>
  <si>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</si>
  <si>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</si>
  <si>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</si>
  <si>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</si>
  <si>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</si>
  <si>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</si>
  <si>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</si>
  <si>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</si>
  <si>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</si>
  <si>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</si>
  <si>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</si>
  <si>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</si>
  <si>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</si>
  <si>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</si>
  <si>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</si>
  <si>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</si>
  <si>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</si>
  <si>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</si>
  <si>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</si>
  <si>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</si>
  <si>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</si>
  <si>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</si>
  <si>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</si>
  <si>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</si>
  <si>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</si>
  <si>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</si>
  <si>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</si>
  <si>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</si>
  <si>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</si>
  <si>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</si>
  <si>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</si>
  <si>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</si>
  <si>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</si>
  <si>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</si>
  <si>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</si>
  <si>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</si>
  <si>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</si>
  <si>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</si>
  <si>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</si>
  <si>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</si>
  <si>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</si>
  <si>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</si>
  <si>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</si>
  <si>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</si>
  <si>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</si>
  <si>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</si>
  <si>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</si>
  <si>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</si>
  <si>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</si>
  <si>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</si>
  <si>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</si>
  <si>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</si>
  <si>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</si>
  <si>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</si>
  <si>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</si>
  <si>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</si>
  <si>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</si>
  <si>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</si>
  <si>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</si>
  <si>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</si>
  <si>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</si>
  <si>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</si>
  <si>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</si>
  <si>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</si>
  <si>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</si>
  <si>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</si>
  <si>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</si>
  <si>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</si>
  <si>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</si>
  <si>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</si>
  <si>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</si>
  <si>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</si>
  <si>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</si>
  <si>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</si>
  <si>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</si>
  <si>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</si>
  <si>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</si>
  <si>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</si>
  <si>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</si>
  <si>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</si>
  <si>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</si>
  <si>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</si>
  <si>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</si>
  <si>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</si>
  <si>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</si>
  <si>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</si>
  <si>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</si>
  <si>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</si>
  <si>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</si>
  <si>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</si>
  <si>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</si>
  <si>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</si>
  <si>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</si>
  <si>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</si>
  <si>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</si>
  <si>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</si>
  <si>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</si>
  <si>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</si>
  <si>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</si>
  <si>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</si>
  <si>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</si>
  <si>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</si>
  <si>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</si>
  <si>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</si>
  <si>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</si>
  <si>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</si>
  <si>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</si>
  <si>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</si>
  <si>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</si>
  <si>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</si>
  <si>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</si>
  <si>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</si>
  <si>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</si>
  <si>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</si>
  <si>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</si>
  <si>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</si>
  <si>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</si>
  <si>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</si>
  <si>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</si>
  <si>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</si>
  <si>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</si>
  <si>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</si>
  <si>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</si>
  <si>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</si>
  <si>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</si>
  <si>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</si>
  <si>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</si>
  <si>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</si>
  <si>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</si>
  <si>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</si>
  <si>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</si>
  <si>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</si>
  <si>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</si>
  <si>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</si>
  <si>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</si>
  <si>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</si>
  <si>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</si>
  <si>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</si>
  <si>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</si>
  <si>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</si>
  <si>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</si>
  <si>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</si>
  <si>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</si>
  <si>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</si>
  <si>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</si>
  <si>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</si>
  <si>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</si>
  <si>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</si>
  <si>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</si>
  <si>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</si>
  <si>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</si>
  <si>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</si>
  <si>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</si>
  <si>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</si>
  <si>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</si>
  <si>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</si>
  <si>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</si>
  <si>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</si>
  <si>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</si>
  <si>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</si>
  <si>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</si>
  <si>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</si>
  <si>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</si>
  <si>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</si>
  <si>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</si>
  <si>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</si>
  <si>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</si>
  <si>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</si>
  <si>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</si>
  <si>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</si>
  <si>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</si>
  <si>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</si>
  <si>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</si>
  <si>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</si>
  <si>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</si>
  <si>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</si>
  <si>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</si>
  <si>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</si>
  <si>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</si>
  <si>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</si>
  <si>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</si>
  <si>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</si>
  <si>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</si>
  <si>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</si>
  <si>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</si>
  <si>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</si>
  <si>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</si>
  <si>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</si>
  <si>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</si>
  <si>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</si>
  <si>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</si>
  <si>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</si>
  <si>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</si>
  <si>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</si>
  <si>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</si>
  <si>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</si>
  <si>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</si>
  <si>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</si>
  <si>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</si>
  <si>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</si>
  <si>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</si>
  <si>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</si>
  <si>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</si>
  <si>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</si>
  <si>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</si>
  <si>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</si>
  <si>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</si>
  <si>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</si>
  <si>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</si>
  <si>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</si>
  <si>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</si>
  <si>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</si>
  <si>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</si>
  <si>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</si>
  <si>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</si>
  <si>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</si>
  <si>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</si>
  <si>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</si>
  <si>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</si>
  <si>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</si>
  <si>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</si>
  <si>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</si>
  <si>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</si>
  <si>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</si>
  <si>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</si>
  <si>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</si>
  <si>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</si>
  <si>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</si>
  <si>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</si>
  <si>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</si>
  <si>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</si>
  <si>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</si>
  <si>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</si>
  <si>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</si>
  <si>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</si>
  <si>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</si>
  <si>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</si>
  <si>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</si>
  <si>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</si>
  <si>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</si>
  <si>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</si>
  <si>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</si>
  <si>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</si>
  <si>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</si>
  <si>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</si>
  <si>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</si>
  <si>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</si>
  <si>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</si>
  <si>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</si>
  <si>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</si>
  <si>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</si>
  <si>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</si>
  <si>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</si>
  <si>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</si>
  <si>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</si>
  <si>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</si>
  <si>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</si>
  <si>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</si>
  <si>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</si>
  <si>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</si>
  <si>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</si>
  <si>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</si>
  <si>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</si>
  <si>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</si>
  <si>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</si>
  <si>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</si>
  <si>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</si>
  <si>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</si>
  <si>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</si>
  <si>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</si>
  <si>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</si>
  <si>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</si>
  <si>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</si>
  <si>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</si>
  <si>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</si>
  <si>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</si>
  <si>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</si>
  <si>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</si>
  <si>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</si>
  <si>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</si>
  <si>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</si>
  <si>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</si>
  <si>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</si>
  <si>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</si>
  <si>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</si>
  <si>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</si>
  <si>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</si>
  <si>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</si>
  <si>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</si>
  <si>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</si>
  <si>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</si>
  <si>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</si>
  <si>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</si>
  <si>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</si>
  <si>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</si>
  <si>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</si>
  <si>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</si>
  <si>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</si>
  <si>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</si>
  <si>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</si>
  <si>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</si>
  <si>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</si>
  <si>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</si>
  <si>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</si>
  <si>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</si>
  <si>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</si>
  <si>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</si>
  <si>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</si>
  <si>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</si>
  <si>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</si>
  <si>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</si>
  <si>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</si>
  <si>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</si>
  <si>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</si>
  <si>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</si>
  <si>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</si>
  <si>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</si>
  <si>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</si>
  <si>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</si>
  <si>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</si>
  <si>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</si>
  <si>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</si>
  <si>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</si>
  <si>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</si>
  <si>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</si>
  <si>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</si>
  <si>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</si>
  <si>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</si>
  <si>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</si>
  <si>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</si>
  <si>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</si>
  <si>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</si>
  <si>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</si>
  <si>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</si>
  <si>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</si>
  <si>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</si>
  <si>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</si>
  <si>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</si>
  <si>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</si>
  <si>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</si>
  <si>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</si>
  <si>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</si>
  <si>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</si>
  <si>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</si>
  <si>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</si>
  <si>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</si>
  <si>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</si>
  <si>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</si>
  <si>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</si>
  <si>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</si>
  <si>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</si>
  <si>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</si>
  <si>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</si>
  <si>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</si>
  <si>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</si>
  <si>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</si>
  <si>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</si>
  <si>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</si>
  <si>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</si>
  <si>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</si>
  <si>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</si>
  <si>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</si>
  <si>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</si>
  <si>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</si>
  <si>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</si>
  <si>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</si>
  <si>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</si>
  <si>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</si>
  <si>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</si>
  <si>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</si>
  <si>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</si>
  <si>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</si>
  <si>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</si>
  <si>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</si>
  <si>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</si>
  <si>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</si>
  <si>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</si>
  <si>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</si>
  <si>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</si>
  <si>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</si>
  <si>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</si>
  <si>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</si>
  <si>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</si>
  <si>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</si>
  <si>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</si>
  <si>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</si>
  <si>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</si>
  <si>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</si>
  <si>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</si>
  <si>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</si>
  <si>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</si>
  <si>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</si>
  <si>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</si>
  <si>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</si>
  <si>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</si>
  <si>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</si>
  <si>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</si>
  <si>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</si>
  <si>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</si>
  <si>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</si>
  <si>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</si>
  <si>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</si>
  <si>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</si>
  <si>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</si>
  <si>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</si>
  <si>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</si>
  <si>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</si>
  <si>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</si>
  <si>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</si>
  <si>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</si>
  <si>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</si>
  <si>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</si>
  <si>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</si>
  <si>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</si>
  <si>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</si>
  <si>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</si>
  <si>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</si>
  <si>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</si>
  <si>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</si>
  <si>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</si>
  <si>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</si>
  <si>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</si>
  <si>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</si>
  <si>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</si>
  <si>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</si>
  <si>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</si>
  <si>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</si>
  <si>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</si>
  <si>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</si>
  <si>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</si>
  <si>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</si>
  <si>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</si>
  <si>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</si>
  <si>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</si>
  <si>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</si>
  <si>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</si>
  <si>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</si>
  <si>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</si>
  <si>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</si>
  <si>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</si>
  <si>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</si>
  <si>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</si>
  <si>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</si>
  <si>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</si>
  <si>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</si>
  <si>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</si>
  <si>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</si>
  <si>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</si>
  <si>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</si>
  <si>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</si>
  <si>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</si>
  <si>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</si>
  <si>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</si>
  <si>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</si>
  <si>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</si>
  <si>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</si>
  <si>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</si>
  <si>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</si>
  <si>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</si>
  <si>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</si>
  <si>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</si>
  <si>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</si>
  <si>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</si>
  <si>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</si>
  <si>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</si>
  <si>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</si>
  <si>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</si>
  <si>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</si>
  <si>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</si>
  <si>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</si>
  <si>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</si>
  <si>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</si>
  <si>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</si>
  <si>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</si>
  <si>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</si>
  <si>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</si>
  <si>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</si>
  <si>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</si>
  <si>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</si>
  <si>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</si>
  <si>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</si>
  <si>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</si>
  <si>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</si>
  <si>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</si>
  <si>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</si>
  <si>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</si>
  <si>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</si>
  <si>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</si>
  <si>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</si>
  <si>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</si>
  <si>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</si>
  <si>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</si>
  <si>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</si>
  <si>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</si>
  <si>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</si>
  <si>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</si>
  <si>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</si>
  <si>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</si>
  <si>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</si>
  <si>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</si>
  <si>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</si>
  <si>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</si>
  <si>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</si>
  <si>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</si>
  <si>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</si>
  <si>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</si>
  <si>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</si>
  <si>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</si>
  <si>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</si>
  <si>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</si>
  <si>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</si>
  <si>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</si>
  <si>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</si>
  <si>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</si>
  <si>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</si>
  <si>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</si>
  <si>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</si>
  <si>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</si>
  <si>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</si>
  <si>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</si>
  <si>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</si>
  <si>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</si>
  <si>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</si>
  <si>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</si>
  <si>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</si>
  <si>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</si>
  <si>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</si>
  <si>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</si>
  <si>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</si>
  <si>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</si>
  <si>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</si>
  <si>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</si>
  <si>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</si>
  <si>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</si>
  <si>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</si>
  <si>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</si>
  <si>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</si>
  <si>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</si>
  <si>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</si>
  <si>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</si>
  <si>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</si>
  <si>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</si>
  <si>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</si>
  <si>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</si>
  <si>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</si>
  <si>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</si>
  <si>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</si>
  <si>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</si>
  <si>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</si>
  <si>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</si>
  <si>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</si>
  <si>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</si>
  <si>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</si>
  <si>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</si>
  <si>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</si>
  <si>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</si>
  <si>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</si>
  <si>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</si>
  <si>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</si>
  <si>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</si>
  <si>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</si>
  <si>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</si>
  <si>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</si>
  <si>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</si>
  <si>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</si>
  <si>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</si>
  <si>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</si>
  <si>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</si>
  <si>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</si>
  <si>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</si>
  <si>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</si>
  <si>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</si>
  <si>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</si>
  <si>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</si>
  <si>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</si>
  <si>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</si>
  <si>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</si>
  <si>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</si>
  <si>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</si>
  <si>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</si>
  <si>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</si>
  <si>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</si>
  <si>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</si>
  <si>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</si>
  <si>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</si>
  <si>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</si>
  <si>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</si>
  <si>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</si>
  <si>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</si>
  <si>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</si>
  <si>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</si>
  <si>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</si>
  <si>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</si>
  <si>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</si>
  <si>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</si>
  <si>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</si>
  <si>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</si>
  <si>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</si>
  <si>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</si>
  <si>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</si>
  <si>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</si>
  <si>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</si>
  <si>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</si>
  <si>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</si>
  <si>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</si>
  <si>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</si>
  <si>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</si>
  <si>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</si>
  <si>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</si>
  <si>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</si>
  <si>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</si>
  <si>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</si>
  <si>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</si>
  <si>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</si>
  <si>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</si>
  <si>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</si>
  <si>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</si>
  <si>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</si>
  <si>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</si>
  <si>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</si>
  <si>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</si>
  <si>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</si>
  <si>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</si>
  <si>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</si>
  <si>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</si>
  <si>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</si>
  <si>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</si>
  <si>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</si>
  <si>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</si>
  <si>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</si>
  <si>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</si>
  <si>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</si>
  <si>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</si>
  <si>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</si>
  <si>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</si>
  <si>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</si>
  <si>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</si>
  <si>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</si>
  <si>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</si>
  <si>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</si>
  <si>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</si>
  <si>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</si>
  <si>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</si>
  <si>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</si>
  <si>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</si>
  <si>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</si>
  <si>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</si>
  <si>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</si>
  <si>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</si>
  <si>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</si>
  <si>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</si>
  <si>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</si>
  <si>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</si>
  <si>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</si>
  <si>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</si>
  <si>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</si>
  <si>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</si>
  <si>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</si>
  <si>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</si>
  <si>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</si>
  <si>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</si>
  <si>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</si>
  <si>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</si>
  <si>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</si>
  <si>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</si>
  <si>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</si>
  <si>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</si>
  <si>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</si>
  <si>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</si>
  <si>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</si>
  <si>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</si>
  <si>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</si>
  <si>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</si>
  <si>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</si>
  <si>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</si>
  <si>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</si>
  <si>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</si>
  <si>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</si>
  <si>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</si>
  <si>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</si>
  <si>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</si>
  <si>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</si>
  <si>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</si>
  <si>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</si>
  <si>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</si>
  <si>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</si>
  <si>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</si>
  <si>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</si>
  <si>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</si>
  <si>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</si>
  <si>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</si>
  <si>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</si>
  <si>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</si>
  <si>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</si>
  <si>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</si>
  <si>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</si>
  <si>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</si>
  <si>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</si>
  <si>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</si>
  <si>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</si>
  <si>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</si>
  <si>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</si>
  <si>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</si>
  <si>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</si>
  <si>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</si>
  <si>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</si>
  <si>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</si>
  <si>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</si>
  <si>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</si>
  <si>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</si>
  <si>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</si>
  <si>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</si>
  <si>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</si>
  <si>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</si>
  <si>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</si>
  <si>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</si>
  <si>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</si>
  <si>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</si>
  <si>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</si>
  <si>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</si>
  <si>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</si>
  <si>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</si>
  <si>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</si>
  <si>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</si>
  <si>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</si>
  <si>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</si>
  <si>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</si>
  <si>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</si>
  <si>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</si>
  <si>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</si>
  <si>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</si>
  <si>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</si>
  <si>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</si>
  <si>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</si>
  <si>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</si>
  <si>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</si>
  <si>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</si>
  <si>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</si>
  <si>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</si>
  <si>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</si>
  <si>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</si>
  <si>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</si>
  <si>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</si>
  <si>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</si>
  <si>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</si>
  <si>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</si>
  <si>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</si>
  <si>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</si>
  <si>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</si>
  <si>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</si>
  <si>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</si>
  <si>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</si>
  <si>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</si>
  <si>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</si>
  <si>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</si>
  <si>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</si>
  <si>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</si>
  <si>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</si>
  <si>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</si>
  <si>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</si>
  <si>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</si>
  <si>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</si>
  <si>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</si>
  <si>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</si>
  <si>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</si>
  <si>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</si>
  <si>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</si>
  <si>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</si>
  <si>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</si>
  <si>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</si>
  <si>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</si>
  <si>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</si>
  <si>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</si>
  <si>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</si>
  <si>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</si>
  <si>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</si>
  <si>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</si>
  <si>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</si>
  <si>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</si>
  <si>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</si>
  <si>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</si>
  <si>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</si>
  <si>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</si>
  <si>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</si>
  <si>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</si>
  <si>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</si>
  <si>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</si>
  <si>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</si>
  <si>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</si>
  <si>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</si>
  <si>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</si>
  <si>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</si>
  <si>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</si>
  <si>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</si>
  <si>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</si>
  <si>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</si>
  <si>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</si>
  <si>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</si>
  <si>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</si>
  <si>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</si>
  <si>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</si>
  <si>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</si>
  <si>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</si>
  <si>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</si>
  <si>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</si>
  <si>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</si>
  <si>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</si>
  <si>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</si>
  <si>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</si>
  <si>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</si>
  <si>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</si>
  <si>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</si>
  <si>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</si>
  <si>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</si>
  <si>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</si>
  <si>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</si>
  <si>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</si>
  <si>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</si>
  <si>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</si>
  <si>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</si>
  <si>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</si>
  <si>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</si>
  <si>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</si>
  <si>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</si>
  <si>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</si>
  <si>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</si>
  <si>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</si>
  <si>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</si>
  <si>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</si>
  <si>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</si>
  <si>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</si>
  <si>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</si>
  <si>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</si>
  <si>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</si>
  <si>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</si>
  <si>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</si>
  <si>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</si>
  <si>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</si>
  <si>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</si>
  <si>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</si>
  <si>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</si>
  <si>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</si>
  <si>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</si>
  <si>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</si>
  <si>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</si>
  <si>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</si>
  <si>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</si>
  <si>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</si>
  <si>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</si>
  <si>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</si>
  <si>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</si>
  <si>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</si>
  <si>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</si>
  <si>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</si>
  <si>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</si>
  <si>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</si>
  <si>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</si>
  <si>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</si>
  <si>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</si>
  <si>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</si>
  <si>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</si>
  <si>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</si>
  <si>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</si>
  <si>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</si>
  <si>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</si>
  <si>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</si>
  <si>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</si>
  <si>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</si>
  <si>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</si>
  <si>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</si>
  <si>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</si>
  <si>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</si>
  <si>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</si>
  <si>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</si>
  <si>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</si>
  <si>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</si>
  <si>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</si>
  <si>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</si>
  <si>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</si>
  <si>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</si>
  <si>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</si>
  <si>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</si>
  <si>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</si>
  <si>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</si>
  <si>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</si>
  <si>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</si>
  <si>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</si>
  <si>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</si>
  <si>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</si>
  <si>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</si>
  <si>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</si>
  <si>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</si>
  <si>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</si>
  <si>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</si>
  <si>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</si>
  <si>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</si>
  <si>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</si>
  <si>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</si>
  <si>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</si>
  <si>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</si>
  <si>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</si>
  <si>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</si>
  <si>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</si>
  <si>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</si>
  <si>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</si>
  <si>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</si>
  <si>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</si>
  <si>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</si>
  <si>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</si>
  <si>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</si>
  <si>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</si>
  <si>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</si>
  <si>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</si>
  <si>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</si>
  <si>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</si>
  <si>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</si>
  <si>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</si>
  <si>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</si>
  <si>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</si>
  <si>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</si>
  <si>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</si>
  <si>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</si>
  <si>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</si>
  <si>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</si>
  <si>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</si>
  <si>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</si>
  <si>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</si>
  <si>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</si>
  <si>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</si>
  <si>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</si>
  <si>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</si>
  <si>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</si>
  <si>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</si>
  <si>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</si>
  <si>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</si>
  <si>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</si>
  <si>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</si>
  <si>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</si>
  <si>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</si>
  <si>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</si>
  <si>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</si>
  <si>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</si>
  <si>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</si>
  <si>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</si>
  <si>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</si>
  <si>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</si>
  <si>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</si>
  <si>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</si>
  <si>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</si>
  <si>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</si>
  <si>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</si>
  <si>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</si>
  <si>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</si>
  <si>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</si>
  <si>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</si>
  <si>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</si>
  <si>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</si>
  <si>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</si>
  <si>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</si>
  <si>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</si>
  <si>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</si>
  <si>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</si>
  <si>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</si>
  <si>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</si>
  <si>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</si>
  <si>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</si>
  <si>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</si>
  <si>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</si>
  <si>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</si>
  <si>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</si>
  <si>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</si>
  <si>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</si>
  <si>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</si>
  <si>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</si>
  <si>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</si>
  <si>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</si>
  <si>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</si>
  <si>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</si>
  <si>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</si>
  <si>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</si>
  <si>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</si>
  <si>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</si>
  <si>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</si>
  <si>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</si>
  <si>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</si>
  <si>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</si>
  <si>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</si>
  <si>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</si>
  <si>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</si>
  <si>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</si>
  <si>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</si>
  <si>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</si>
  <si>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</si>
  <si>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</si>
  <si>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</si>
  <si>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</si>
  <si>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</si>
  <si>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</si>
  <si>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</si>
  <si>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</si>
  <si>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</si>
  <si>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</si>
  <si>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</si>
  <si>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</si>
  <si>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</si>
  <si>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</si>
  <si>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</si>
  <si>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</si>
  <si>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</si>
  <si>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</si>
  <si>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</si>
  <si>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</si>
  <si>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</si>
  <si>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</si>
  <si>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</si>
  <si>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</si>
  <si>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</si>
  <si>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</si>
  <si>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</si>
  <si>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</si>
  <si>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</si>
  <si>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</si>
  <si>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</si>
  <si>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</si>
  <si>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</si>
  <si>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</si>
  <si>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</si>
  <si>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</si>
  <si>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</si>
  <si>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</si>
  <si>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</si>
  <si>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</si>
  <si>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</si>
  <si>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</si>
  <si>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</si>
  <si>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</si>
  <si>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</si>
  <si>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</si>
  <si>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</si>
  <si>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</si>
  <si>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</si>
  <si>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</si>
  <si>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</si>
  <si>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</si>
  <si>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</si>
  <si>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</si>
  <si>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</si>
  <si>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</si>
  <si>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</si>
  <si>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</si>
  <si>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</si>
  <si>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</si>
  <si>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</si>
  <si>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</si>
  <si>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</si>
  <si>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</si>
  <si>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</si>
  <si>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</si>
  <si>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</si>
  <si>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</si>
  <si>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</si>
  <si>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</si>
  <si>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</si>
  <si>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</si>
  <si>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</si>
  <si>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</si>
  <si>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</si>
  <si>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</si>
  <si>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</si>
  <si>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</si>
  <si>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</si>
  <si>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</si>
  <si>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</si>
  <si>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</si>
  <si>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</si>
  <si>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</si>
  <si>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</si>
  <si>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</si>
  <si>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</si>
  <si>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</si>
  <si>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</si>
  <si>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</si>
  <si>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</si>
  <si>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</si>
  <si>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</si>
  <si>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</si>
  <si>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</si>
  <si>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</si>
  <si>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</si>
  <si>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</si>
  <si>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</si>
  <si>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</si>
  <si>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</si>
  <si>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</si>
  <si>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</si>
  <si>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</si>
  <si>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</si>
  <si>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</si>
  <si>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</si>
  <si>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</si>
  <si>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</si>
  <si>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</si>
  <si>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</si>
  <si>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</si>
  <si>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</si>
  <si>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</si>
  <si>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</si>
  <si>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</si>
  <si>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</si>
  <si>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</si>
  <si>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</si>
  <si>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</si>
  <si>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</si>
  <si>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</si>
  <si>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</si>
  <si>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</si>
  <si>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</si>
  <si>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</si>
  <si>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</si>
  <si>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</si>
  <si>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</si>
  <si>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</si>
  <si>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</si>
  <si>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</si>
  <si>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</si>
  <si>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</si>
  <si>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</si>
  <si>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</si>
  <si>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</si>
  <si>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</si>
  <si>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</si>
  <si>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</si>
  <si>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</si>
  <si>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</si>
  <si>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</si>
  <si>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</si>
  <si>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</si>
  <si>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</si>
  <si>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</si>
  <si>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</si>
  <si>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</si>
  <si>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</si>
  <si>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</si>
  <si>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</si>
  <si>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</si>
  <si>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</si>
  <si>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</si>
  <si>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</si>
  <si>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</si>
  <si>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</si>
  <si>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</si>
  <si>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</si>
  <si>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</si>
  <si>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</si>
  <si>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</si>
  <si>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</si>
  <si>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</si>
  <si>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</si>
  <si>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</si>
  <si>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</si>
  <si>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</si>
  <si>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</si>
  <si>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</si>
  <si>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</si>
  <si>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</si>
  <si>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</si>
  <si>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</si>
  <si>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</si>
  <si>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</si>
  <si>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</si>
  <si>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</si>
  <si>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</si>
  <si>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</si>
  <si>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</si>
  <si>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</si>
  <si>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</si>
  <si>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</si>
  <si>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</si>
  <si>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</si>
  <si>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</si>
  <si>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</si>
  <si>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</si>
  <si>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</si>
  <si>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</si>
  <si>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</si>
  <si>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</si>
  <si>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</si>
  <si>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</si>
  <si>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</si>
  <si>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</si>
  <si>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</si>
  <si>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</si>
  <si>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</si>
  <si>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</si>
  <si>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</si>
  <si>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</si>
  <si>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</si>
  <si>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</si>
  <si>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</si>
  <si>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</si>
  <si>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</si>
  <si>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</si>
  <si>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</si>
  <si>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</si>
  <si>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</si>
  <si>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</si>
  <si>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</si>
  <si>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</si>
  <si>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</si>
  <si>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</si>
  <si>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</si>
  <si>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</si>
  <si>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</si>
  <si>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</si>
  <si>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</si>
  <si>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</si>
  <si>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</si>
  <si>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</si>
  <si>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</si>
  <si>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</si>
  <si>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</si>
  <si>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</si>
  <si>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</si>
  <si>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</si>
  <si>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</si>
  <si>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</si>
  <si>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</si>
  <si>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</si>
  <si>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</si>
  <si>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</si>
  <si>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</si>
  <si>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</si>
  <si>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</si>
  <si>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</si>
  <si>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</si>
  <si>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</si>
  <si>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</si>
  <si>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</si>
  <si>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</si>
  <si>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</si>
  <si>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</si>
  <si>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</si>
  <si>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</si>
  <si>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</si>
  <si>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</si>
  <si>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</si>
  <si>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</si>
  <si>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</si>
  <si>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</si>
  <si>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</si>
  <si>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</si>
  <si>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</si>
  <si>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</si>
  <si>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</si>
  <si>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</si>
  <si>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</si>
  <si>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</si>
  <si>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</si>
  <si>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</si>
  <si>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</si>
  <si>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</si>
  <si>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</si>
  <si>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</si>
  <si>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</si>
  <si>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</si>
  <si>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</si>
  <si>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</si>
  <si>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</si>
  <si>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</si>
  <si>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</si>
  <si>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</si>
  <si>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</si>
  <si>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</si>
  <si>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</si>
  <si>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</si>
  <si>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</si>
  <si>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</si>
  <si>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</si>
  <si>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</si>
  <si>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</si>
  <si>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</si>
  <si>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</si>
  <si>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</si>
  <si>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</si>
  <si>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</si>
  <si>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</si>
  <si>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</si>
  <si>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</si>
  <si>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</si>
  <si>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</si>
  <si>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</si>
  <si>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</si>
  <si>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</si>
  <si>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</si>
  <si>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</si>
  <si>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</si>
  <si>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</si>
  <si>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</si>
  <si>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</si>
  <si>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</si>
  <si>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</si>
  <si>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</si>
  <si>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</si>
  <si>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</si>
  <si>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</si>
  <si>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</si>
  <si>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</si>
  <si>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</si>
  <si>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</si>
  <si>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</si>
  <si>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</si>
  <si>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</si>
  <si>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</si>
  <si>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</si>
  <si>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</si>
  <si>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</si>
  <si>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</si>
  <si>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</si>
  <si>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</si>
  <si>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</si>
  <si>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</si>
  <si>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</si>
  <si>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</si>
  <si>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</si>
  <si>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</si>
  <si>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</si>
  <si>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</si>
  <si>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</si>
  <si>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</si>
  <si>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</si>
  <si>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</si>
  <si>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</si>
  <si>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</si>
  <si>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</si>
  <si>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</si>
  <si>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</si>
  <si>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</si>
  <si>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</si>
  <si>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</si>
  <si>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</si>
  <si>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</si>
  <si>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</si>
  <si>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</si>
  <si>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</si>
  <si>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</si>
  <si>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</si>
  <si>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</si>
  <si>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</si>
  <si>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</si>
  <si>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</si>
  <si>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</si>
  <si>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</si>
  <si>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</si>
  <si>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</si>
  <si>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</si>
  <si>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</si>
  <si>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</si>
  <si>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</si>
  <si>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</si>
  <si>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</si>
  <si>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</si>
  <si>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</si>
  <si>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</si>
  <si>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</si>
  <si>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</si>
  <si>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</si>
  <si>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</si>
  <si>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</si>
  <si>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</si>
  <si>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</si>
  <si>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</si>
  <si>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</si>
  <si>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</si>
  <si>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</si>
  <si>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</si>
  <si>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</si>
  <si>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</si>
  <si>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</si>
  <si>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</si>
  <si>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</si>
  <si>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</si>
  <si>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</si>
  <si>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</si>
  <si>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</si>
  <si>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</si>
  <si>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</si>
  <si>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</si>
  <si>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</si>
  <si>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</si>
  <si>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</si>
  <si>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</si>
  <si>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</si>
  <si>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</si>
  <si>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</si>
  <si>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</si>
  <si>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</si>
  <si>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</si>
  <si>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</si>
  <si>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</si>
  <si>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</si>
  <si>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</si>
  <si>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</si>
  <si>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</si>
  <si>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</si>
  <si>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</si>
  <si>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</si>
  <si>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</si>
  <si>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</si>
  <si>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</si>
  <si>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</si>
  <si>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</si>
  <si>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</si>
  <si>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</si>
  <si>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</si>
  <si>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</si>
  <si>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</si>
  <si>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</si>
  <si>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</si>
  <si>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</si>
  <si>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</si>
  <si>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</si>
  <si>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</si>
  <si>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</si>
  <si>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</si>
  <si>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</si>
  <si>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</si>
  <si>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</si>
  <si>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</si>
  <si>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</si>
  <si>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</si>
  <si>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</si>
  <si>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</si>
  <si>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</si>
  <si>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</si>
  <si>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</si>
  <si>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</si>
  <si>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</si>
  <si>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</si>
  <si>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</si>
  <si>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</si>
  <si>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</si>
  <si>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</si>
  <si>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</si>
  <si>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</si>
  <si>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</si>
  <si>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</si>
  <si>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</si>
  <si>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</si>
  <si>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</si>
  <si>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</si>
  <si>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</si>
  <si>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</si>
  <si>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</si>
  <si>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</si>
  <si>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</si>
  <si>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</si>
  <si>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</si>
  <si>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</si>
  <si>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</si>
  <si>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</si>
  <si>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</si>
  <si>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</si>
  <si>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</si>
  <si>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</si>
  <si>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</si>
  <si>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</si>
  <si>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</si>
  <si>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</si>
  <si>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</si>
  <si>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</si>
  <si>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</si>
  <si>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</si>
  <si>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</si>
  <si>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</si>
  <si>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</si>
  <si>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</si>
  <si>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</si>
  <si>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</si>
  <si>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</si>
  <si>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</si>
  <si>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</si>
  <si>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</si>
  <si>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</si>
  <si>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</si>
  <si>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</si>
  <si>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</si>
  <si>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</si>
  <si>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</si>
  <si>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</si>
  <si>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</si>
  <si>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</si>
  <si>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</si>
  <si>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</si>
  <si>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</si>
  <si>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</si>
  <si>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</si>
  <si>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</si>
  <si>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</si>
  <si>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</si>
  <si>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</si>
  <si>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</si>
  <si>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</si>
  <si>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</si>
  <si>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</si>
  <si>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</si>
  <si>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</si>
  <si>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</si>
  <si>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</si>
  <si>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</si>
  <si>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</si>
  <si>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</si>
  <si>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</si>
  <si>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</si>
  <si>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</si>
  <si>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</si>
  <si>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</si>
  <si>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</si>
  <si>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</si>
  <si>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</si>
  <si>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</si>
  <si>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</si>
  <si>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</si>
  <si>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</si>
  <si>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</si>
  <si>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</si>
  <si>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</si>
  <si>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</si>
  <si>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</si>
  <si>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</si>
  <si>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</si>
  <si>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</si>
  <si>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</si>
  <si>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</si>
  <si>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</si>
  <si>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</si>
  <si>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</si>
  <si>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</si>
  <si>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</si>
  <si>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</si>
  <si>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</si>
  <si>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</si>
  <si>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</si>
  <si>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</si>
  <si>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</si>
  <si>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</si>
  <si>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</si>
  <si>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</si>
  <si>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</si>
  <si>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</si>
  <si>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</si>
  <si>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</si>
  <si>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</si>
  <si>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</si>
  <si>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</si>
  <si>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</si>
  <si>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</si>
  <si>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</si>
  <si>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</si>
  <si>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</si>
  <si>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</si>
  <si>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</si>
  <si>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</si>
  <si>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</si>
  <si>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</si>
  <si>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</si>
  <si>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</si>
  <si>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</si>
  <si>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</si>
  <si>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</si>
  <si>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</si>
  <si>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</si>
  <si>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</si>
  <si>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</si>
  <si>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</si>
  <si>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</si>
  <si>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</si>
  <si>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</si>
  <si>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</si>
  <si>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</si>
  <si>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</si>
  <si>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</si>
  <si>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</si>
  <si>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</si>
  <si>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</si>
  <si>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</si>
  <si>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</si>
  <si>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</si>
  <si>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</si>
  <si>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</si>
  <si>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</si>
  <si>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</si>
  <si>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</si>
  <si>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</si>
  <si>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</si>
  <si>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</si>
  <si>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</si>
  <si>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</si>
  <si>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</si>
  <si>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</si>
  <si>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</si>
  <si>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</si>
  <si>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</si>
  <si>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</si>
  <si>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</si>
  <si>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</si>
  <si>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</si>
  <si>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</si>
  <si>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</si>
  <si>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</si>
  <si>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</si>
  <si>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</si>
  <si>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</si>
  <si>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</si>
  <si>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</si>
  <si>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</si>
  <si>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</si>
  <si>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</si>
  <si>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</si>
  <si>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</si>
  <si>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</si>
  <si>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</si>
  <si>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</si>
  <si>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</si>
  <si>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</si>
  <si>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</si>
  <si>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</si>
  <si>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</si>
  <si>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</si>
  <si>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</si>
  <si>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</si>
  <si>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</si>
  <si>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</si>
  <si>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</si>
  <si>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</si>
  <si>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</si>
  <si>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</si>
  <si>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</si>
  <si>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</si>
  <si>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</si>
  <si>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</si>
  <si>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</si>
  <si>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</si>
  <si>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</si>
  <si>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</si>
  <si>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</si>
  <si>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</si>
  <si>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</si>
  <si>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</si>
  <si>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</si>
  <si>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</si>
  <si>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</si>
  <si>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</si>
  <si>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</si>
  <si>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</si>
  <si>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</si>
  <si>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</si>
  <si>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</si>
  <si>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</si>
  <si>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</si>
  <si>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</si>
  <si>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</si>
  <si>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</si>
  <si>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</si>
  <si>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</si>
  <si>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</si>
  <si>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</si>
  <si>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</si>
  <si>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</si>
  <si>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</si>
  <si>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</si>
  <si>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</si>
  <si>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</si>
  <si>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</si>
  <si>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</si>
  <si>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</si>
  <si>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</si>
  <si>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</si>
  <si>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</si>
  <si>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</si>
  <si>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</si>
  <si>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</si>
  <si>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</si>
  <si>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</si>
  <si>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</si>
  <si>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</si>
  <si>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</si>
  <si>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</si>
  <si>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</si>
  <si>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</si>
  <si>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</si>
  <si>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</si>
  <si>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</si>
  <si>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</si>
  <si>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</si>
  <si>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</si>
  <si>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</si>
  <si>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</si>
  <si>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</si>
  <si>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</si>
  <si>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</si>
  <si>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</si>
  <si>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</si>
  <si>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</si>
  <si>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</si>
  <si>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</si>
  <si>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</si>
  <si>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</si>
  <si>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</si>
  <si>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</si>
  <si>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</si>
  <si>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</si>
  <si>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</si>
  <si>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</si>
  <si>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</si>
  <si>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</si>
  <si>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</si>
  <si>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</si>
  <si>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</si>
  <si>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</si>
  <si>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</si>
  <si>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</si>
  <si>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</si>
  <si>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</si>
  <si>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</si>
  <si>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</si>
  <si>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</si>
  <si>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</si>
  <si>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</si>
  <si>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</si>
  <si>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</si>
  <si>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</si>
  <si>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</si>
  <si>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</si>
  <si>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</si>
  <si>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</si>
  <si>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</si>
  <si>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</si>
  <si>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</si>
  <si>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</si>
  <si>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</si>
  <si>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</si>
  <si>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</si>
  <si>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</si>
  <si>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</si>
  <si>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</si>
  <si>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</si>
  <si>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</si>
  <si>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</si>
  <si>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</si>
  <si>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</si>
  <si>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</si>
  <si>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</si>
  <si>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</si>
  <si>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</si>
  <si>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</si>
  <si>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</si>
  <si>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</si>
  <si>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</si>
  <si>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</si>
  <si>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</si>
  <si>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</si>
  <si>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</si>
  <si>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</si>
  <si>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</si>
  <si>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</si>
  <si>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</si>
  <si>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</si>
  <si>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</si>
  <si>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</si>
  <si>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</si>
  <si>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</si>
  <si>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</si>
  <si>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</si>
  <si>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</si>
  <si>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</si>
  <si>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</si>
  <si>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</si>
  <si>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</si>
  <si>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</si>
  <si>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</si>
  <si>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</si>
  <si>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</si>
  <si>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</si>
  <si>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</si>
  <si>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</si>
  <si>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</si>
  <si>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</si>
  <si>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</si>
  <si>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</si>
  <si>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</si>
  <si>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</si>
  <si>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</si>
  <si>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</si>
  <si>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</si>
  <si>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</si>
  <si>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</si>
  <si>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</si>
  <si>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</si>
  <si>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</si>
  <si>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</si>
  <si>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</si>
  <si>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</si>
  <si>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</si>
  <si>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</si>
  <si>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</si>
  <si>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</si>
  <si>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</si>
  <si>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</si>
  <si>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</si>
  <si>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</si>
  <si>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</si>
  <si>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</si>
  <si>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</si>
  <si>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</si>
  <si>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</si>
  <si>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</si>
  <si>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</si>
  <si>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</si>
  <si>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</si>
  <si>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</si>
  <si>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</si>
  <si>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</si>
  <si>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</si>
  <si>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</si>
  <si>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</si>
  <si>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</si>
  <si>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</si>
  <si>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</si>
  <si>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</si>
  <si>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</si>
  <si>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</si>
  <si>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</si>
  <si>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</si>
  <si>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</si>
  <si>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</si>
  <si>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</si>
  <si>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</si>
  <si>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</si>
  <si>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</si>
  <si>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</si>
  <si>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</si>
  <si>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</si>
  <si>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</si>
  <si>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</si>
  <si>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</si>
  <si>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</si>
  <si>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</si>
  <si>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</si>
  <si>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</si>
  <si>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</si>
  <si>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</si>
  <si>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</si>
  <si>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</si>
  <si>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</si>
  <si>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</si>
  <si>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</si>
  <si>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</si>
  <si>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</si>
  <si>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</si>
  <si>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</si>
  <si>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</si>
  <si>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</si>
  <si>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</si>
  <si>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</si>
  <si>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</si>
  <si>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</si>
  <si>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</si>
  <si>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</si>
  <si>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</si>
  <si>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</si>
  <si>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</si>
  <si>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</si>
  <si>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</si>
  <si>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</si>
  <si>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</si>
  <si>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</si>
  <si>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</si>
  <si>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</si>
  <si>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</si>
  <si>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</si>
  <si>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</si>
  <si>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</si>
  <si>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</si>
  <si>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</si>
  <si>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</si>
  <si>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</si>
  <si>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</si>
  <si>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</si>
  <si>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</si>
  <si>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</si>
  <si>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</si>
  <si>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</si>
  <si>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</si>
  <si>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</si>
  <si>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</si>
  <si>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</si>
  <si>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</si>
  <si>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</si>
  <si>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</si>
  <si>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</si>
  <si>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</si>
  <si>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</si>
  <si>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</si>
  <si>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</si>
  <si>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</si>
  <si>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</si>
  <si>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</si>
  <si>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</si>
  <si>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</si>
  <si>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</si>
  <si>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</si>
  <si>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</si>
  <si>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</si>
  <si>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</si>
  <si>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</si>
  <si>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</si>
  <si>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</si>
  <si>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</si>
  <si>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</si>
  <si>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</si>
  <si>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</si>
  <si>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</si>
  <si>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</si>
  <si>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</si>
  <si>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</si>
  <si>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</si>
  <si>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</si>
  <si>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</si>
  <si>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</si>
  <si>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</si>
  <si>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</si>
  <si>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</si>
  <si>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</si>
  <si>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</si>
  <si>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</si>
  <si>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</si>
  <si>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</si>
  <si>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</si>
  <si>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</si>
  <si>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</si>
  <si>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</si>
  <si>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</si>
  <si>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</si>
  <si>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</si>
  <si>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</si>
  <si>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</si>
  <si>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</si>
  <si>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</si>
  <si>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</si>
  <si>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</si>
  <si>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</si>
  <si>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</si>
  <si>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</si>
  <si>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</si>
  <si>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</si>
  <si>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</si>
  <si>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</si>
  <si>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</si>
  <si>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</si>
  <si>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</si>
  <si>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</si>
  <si>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</si>
  <si>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</si>
  <si>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</si>
  <si>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</si>
  <si>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</si>
  <si>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</si>
  <si>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</si>
  <si>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</si>
  <si>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</si>
  <si>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</si>
  <si>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</si>
  <si>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</si>
  <si>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</si>
  <si>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</si>
  <si>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</si>
  <si>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</si>
  <si>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</si>
  <si>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</si>
  <si>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</si>
  <si>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</si>
  <si>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</si>
  <si>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</si>
  <si>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</si>
  <si>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</si>
  <si>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</si>
  <si>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</si>
  <si>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</si>
  <si>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</si>
  <si>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</si>
  <si>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</si>
  <si>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</si>
  <si>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</si>
  <si>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</si>
  <si>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</si>
  <si>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</si>
  <si>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</si>
  <si>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</si>
  <si>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</si>
  <si>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</si>
  <si>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</si>
  <si>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</si>
  <si>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</si>
  <si>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</si>
  <si>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</si>
  <si>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</si>
  <si>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</si>
  <si>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</si>
  <si>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</si>
  <si>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</si>
  <si>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</si>
  <si>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</si>
  <si>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</si>
  <si>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</si>
  <si>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</si>
  <si>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</si>
  <si>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</si>
  <si>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</si>
  <si>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</si>
  <si>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</si>
  <si>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</si>
  <si>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</si>
  <si>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</si>
  <si>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</si>
  <si>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</si>
  <si>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</si>
  <si>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</si>
  <si>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</si>
  <si>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</si>
  <si>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</si>
  <si>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</si>
  <si>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</si>
  <si>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</si>
  <si>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</si>
  <si>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</si>
  <si>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</si>
  <si>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</si>
  <si>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</si>
  <si>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</si>
  <si>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</si>
  <si>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</si>
  <si>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</si>
  <si>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</si>
  <si>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</si>
  <si>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</si>
  <si>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</si>
  <si>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</si>
  <si>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</si>
  <si>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</si>
  <si>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</si>
  <si>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</si>
  <si>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</si>
  <si>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</si>
  <si>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</si>
  <si>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</si>
  <si>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</si>
  <si>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</si>
  <si>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</si>
  <si>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</si>
  <si>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</si>
  <si>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</si>
  <si>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</si>
  <si>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</si>
  <si>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</si>
  <si>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</si>
  <si>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</si>
  <si>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</si>
  <si>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</si>
  <si>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</si>
  <si>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</si>
  <si>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</si>
  <si>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</si>
  <si>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</si>
  <si>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</si>
  <si>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</si>
  <si>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</si>
  <si>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</si>
  <si>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</si>
  <si>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</si>
  <si>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</si>
  <si>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</si>
  <si>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</si>
  <si>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</si>
  <si>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</si>
  <si>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</si>
  <si>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</si>
  <si>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</si>
  <si>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</si>
  <si>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</si>
  <si>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</si>
  <si>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</si>
  <si>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</si>
  <si>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</si>
  <si>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</si>
  <si>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</si>
  <si>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</si>
  <si>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</si>
  <si>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</si>
  <si>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</si>
  <si>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</si>
  <si>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</si>
  <si>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</si>
  <si>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</si>
  <si>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</si>
  <si>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</si>
  <si>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</si>
  <si>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</si>
  <si>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</si>
  <si>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</si>
  <si>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</si>
  <si>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</si>
  <si>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</si>
  <si>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</si>
  <si>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</si>
  <si>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</si>
  <si>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</si>
  <si>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</si>
  <si>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</si>
  <si>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</si>
  <si>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</si>
  <si>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</si>
  <si>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</si>
  <si>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</si>
  <si>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</si>
  <si>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</si>
  <si>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</si>
  <si>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</si>
  <si>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</si>
  <si>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</si>
  <si>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</si>
  <si>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</si>
  <si>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</si>
  <si>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</si>
  <si>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</si>
  <si>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</si>
  <si>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</si>
  <si>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</si>
  <si>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</si>
  <si>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</si>
  <si>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</si>
  <si>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</si>
  <si>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</si>
  <si>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</si>
  <si>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</si>
  <si>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</si>
  <si>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</si>
  <si>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</si>
  <si>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</si>
  <si>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</si>
  <si>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</si>
  <si>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</si>
  <si>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</si>
  <si>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</si>
  <si>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</si>
  <si>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</si>
  <si>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</si>
  <si>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</si>
  <si>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</si>
  <si>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</si>
  <si>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</si>
  <si>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</si>
  <si>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</si>
  <si>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</si>
  <si>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</si>
  <si>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</si>
  <si>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</si>
  <si>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</si>
  <si>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</si>
  <si>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</si>
  <si>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</si>
  <si>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</si>
  <si>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</si>
  <si>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</si>
  <si>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</si>
  <si>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</si>
  <si>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</si>
  <si>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</si>
  <si>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</si>
  <si>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</si>
  <si>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</si>
  <si>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</si>
  <si>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</si>
  <si>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</si>
  <si>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</si>
  <si>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</si>
  <si>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</si>
  <si>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</si>
  <si>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</si>
  <si>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</si>
  <si>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</si>
  <si>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</si>
  <si>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</si>
  <si>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</si>
  <si>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</si>
  <si>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</si>
  <si>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</si>
  <si>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</si>
  <si>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</si>
  <si>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</si>
  <si>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</si>
  <si>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</si>
  <si>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</si>
  <si>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</si>
  <si>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</si>
  <si>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</si>
  <si>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</si>
  <si>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</si>
  <si>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</si>
  <si>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</si>
  <si>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</si>
  <si>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</si>
  <si>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</si>
  <si>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</si>
  <si>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</si>
  <si>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</si>
  <si>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</si>
  <si>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</si>
  <si>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</si>
  <si>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</si>
  <si>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</si>
  <si>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</si>
  <si>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</si>
  <si>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</si>
  <si>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</si>
  <si>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</si>
  <si>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</si>
  <si>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</si>
  <si>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</si>
  <si>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</si>
  <si>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</si>
  <si>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</si>
  <si>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</si>
  <si>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</si>
  <si>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</si>
  <si>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</si>
  <si>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</si>
  <si>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</si>
  <si>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</si>
  <si>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</si>
  <si>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</si>
  <si>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</si>
  <si>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</si>
  <si>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</si>
  <si>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</si>
  <si>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</si>
  <si>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</si>
  <si>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</si>
  <si>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</si>
  <si>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</si>
  <si>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</si>
  <si>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</si>
  <si>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</si>
  <si>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</si>
  <si>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</si>
  <si>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</si>
  <si>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</si>
  <si>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</si>
  <si>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</si>
  <si>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</si>
  <si>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</si>
  <si>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</si>
  <si>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</si>
  <si>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</si>
  <si>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</si>
  <si>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</si>
  <si>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</si>
  <si>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</si>
  <si>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</si>
  <si>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</si>
  <si>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</si>
  <si>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</si>
  <si>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</si>
  <si>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</si>
  <si>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</si>
  <si>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</si>
  <si>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</si>
  <si>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</si>
  <si>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</si>
  <si>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</si>
  <si>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</si>
  <si>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</si>
  <si>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</si>
  <si>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</si>
  <si>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</si>
  <si>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</si>
  <si>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</si>
  <si>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</si>
  <si>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</si>
  <si>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</si>
  <si>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</si>
  <si>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</si>
  <si>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</si>
  <si>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</si>
  <si>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</si>
  <si>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</si>
  <si>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</si>
  <si>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</si>
  <si>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</si>
  <si>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</si>
  <si>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</si>
  <si>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</si>
  <si>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</si>
  <si>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</si>
  <si>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</si>
  <si>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</si>
  <si>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</si>
  <si>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</si>
  <si>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</si>
  <si>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</si>
  <si>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</si>
  <si>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</si>
  <si>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</si>
  <si>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</si>
  <si>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</si>
  <si>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</si>
  <si>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</si>
  <si>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</si>
  <si>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</si>
  <si>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</si>
  <si>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</si>
  <si>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</si>
  <si>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</si>
  <si>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</si>
  <si>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</si>
  <si>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</si>
  <si>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</si>
  <si>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</si>
  <si>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</si>
  <si>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</si>
  <si>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</si>
  <si>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</si>
  <si>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</si>
  <si>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</si>
  <si>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</si>
  <si>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</si>
  <si>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</si>
  <si>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</si>
  <si>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</si>
  <si>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</si>
  <si>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</si>
  <si>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</si>
  <si>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</si>
  <si>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</si>
  <si>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</si>
  <si>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</si>
  <si>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</si>
  <si>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</si>
  <si>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</si>
  <si>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</si>
  <si>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</si>
  <si>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</si>
  <si>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</si>
  <si>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</si>
  <si>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</si>
  <si>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</si>
  <si>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</si>
  <si>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</si>
  <si>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</si>
  <si>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</si>
  <si>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</si>
  <si>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</si>
  <si>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</si>
  <si>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</si>
  <si>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</si>
  <si>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</si>
  <si>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</si>
  <si>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</si>
  <si>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</si>
  <si>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</si>
  <si>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</si>
  <si>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</si>
  <si>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</si>
  <si>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</si>
  <si>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</si>
  <si>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</si>
  <si>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</si>
  <si>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</si>
  <si>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</si>
  <si>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</si>
  <si>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</si>
  <si>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</si>
  <si>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</si>
  <si>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</si>
  <si>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</si>
  <si>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</si>
  <si>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</si>
  <si>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</si>
  <si>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</si>
  <si>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</si>
  <si>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</si>
  <si>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</si>
  <si>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</si>
  <si>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</si>
  <si>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</si>
  <si>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</si>
  <si>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</si>
  <si>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</si>
  <si>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</si>
  <si>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</si>
  <si>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</si>
  <si>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</si>
  <si>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</si>
  <si>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</si>
  <si>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</si>
  <si>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</si>
  <si>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</si>
  <si>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</si>
  <si>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</si>
  <si>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</si>
  <si>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</si>
  <si>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</si>
  <si>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</si>
  <si>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</si>
  <si>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</si>
  <si>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</si>
  <si>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</si>
  <si>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</si>
  <si>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</si>
  <si>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</si>
  <si>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</si>
  <si>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</si>
  <si>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</si>
  <si>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</si>
  <si>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</si>
  <si>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</si>
  <si>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</si>
  <si>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</si>
  <si>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</si>
  <si>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</si>
  <si>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</si>
  <si>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</si>
  <si>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</si>
  <si>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</si>
  <si>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</si>
  <si>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</si>
  <si>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</si>
  <si>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</si>
  <si>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</si>
  <si>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</si>
  <si>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</si>
  <si>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</si>
  <si>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</si>
  <si>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</si>
  <si>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</si>
  <si>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</si>
  <si>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</si>
  <si>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</si>
  <si>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</si>
  <si>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</si>
  <si>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</si>
  <si>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</si>
  <si>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</si>
  <si>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</si>
  <si>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</si>
  <si>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</si>
  <si>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</si>
  <si>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</si>
  <si>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</si>
  <si>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</si>
  <si>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</si>
  <si>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</si>
  <si>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</si>
  <si>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</si>
  <si>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</si>
  <si>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</si>
  <si>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</si>
  <si>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</si>
  <si>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</si>
  <si>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</si>
  <si>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</si>
  <si>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</si>
  <si>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</si>
  <si>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</si>
  <si>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</si>
  <si>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</si>
  <si>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</si>
  <si>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</si>
  <si>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</si>
  <si>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</si>
  <si>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</si>
  <si>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</si>
  <si>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</si>
  <si>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</si>
  <si>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</si>
  <si>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</si>
  <si>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</si>
  <si>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</si>
  <si>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</si>
  <si>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</si>
  <si>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</si>
  <si>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</si>
  <si>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</si>
  <si>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</si>
  <si>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</si>
  <si>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</si>
  <si>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</si>
  <si>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</si>
  <si>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</si>
  <si>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</si>
  <si>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</si>
  <si>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</si>
  <si>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</si>
  <si>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</si>
  <si>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</si>
  <si>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</si>
  <si>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</si>
  <si>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</si>
  <si>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</si>
  <si>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</si>
  <si>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</si>
  <si>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</si>
  <si>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</si>
  <si>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</si>
  <si>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</si>
  <si>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</si>
  <si>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</si>
  <si>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</si>
  <si>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</si>
  <si>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</si>
  <si>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</si>
  <si>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</si>
  <si>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</si>
  <si>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</si>
  <si>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</si>
  <si>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</si>
  <si>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</si>
  <si>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</si>
  <si>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</si>
  <si>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</si>
  <si>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</si>
  <si>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</si>
  <si>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</si>
  <si>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</si>
  <si>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</si>
  <si>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</si>
  <si>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</si>
  <si>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</si>
  <si>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</si>
  <si>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</si>
  <si>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</si>
  <si>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</si>
  <si>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</si>
  <si>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</si>
  <si>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</si>
  <si>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</si>
  <si>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</si>
  <si>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</si>
  <si>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</si>
  <si>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</si>
  <si>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</si>
  <si>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</si>
  <si>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</si>
  <si>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</si>
  <si>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</si>
  <si>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</si>
  <si>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</si>
  <si>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</si>
  <si>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</si>
  <si>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</si>
  <si>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</si>
  <si>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</si>
  <si>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</si>
  <si>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</si>
  <si>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</si>
  <si>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</si>
  <si>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</si>
  <si>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</si>
  <si>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</si>
  <si>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</si>
  <si>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</si>
  <si>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</si>
  <si>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</si>
  <si>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</si>
  <si>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</si>
  <si>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</si>
  <si>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</si>
  <si>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</si>
  <si>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</si>
  <si>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</si>
  <si>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</si>
  <si>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</si>
  <si>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</si>
  <si>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</si>
  <si>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</si>
  <si>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</si>
  <si>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</si>
  <si>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</si>
  <si>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</si>
  <si>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</si>
  <si>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</si>
  <si>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</si>
  <si>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</si>
  <si>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</si>
  <si>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</si>
  <si>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</si>
  <si>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</si>
  <si>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</si>
  <si>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</si>
  <si>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</si>
  <si>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</si>
  <si>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</si>
  <si>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</si>
  <si>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</si>
  <si>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</si>
  <si>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</si>
  <si>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</si>
  <si>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</si>
  <si>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</si>
  <si>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</si>
  <si>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</si>
  <si>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</si>
  <si>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</si>
  <si>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</si>
  <si>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</si>
  <si>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</si>
  <si>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</si>
  <si>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</si>
  <si>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</si>
  <si>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</si>
  <si>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</si>
  <si>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</si>
  <si>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</si>
  <si>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</si>
  <si>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</si>
  <si>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</si>
  <si>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</si>
  <si>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</si>
  <si>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</si>
  <si>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</si>
  <si>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</si>
  <si>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</si>
  <si>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</si>
  <si>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</si>
  <si>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</si>
  <si>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</si>
  <si>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</si>
  <si>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</si>
  <si>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</si>
  <si>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</si>
  <si>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</si>
  <si>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</si>
  <si>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</si>
  <si>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</si>
  <si>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</si>
  <si>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</si>
  <si>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</si>
  <si>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</si>
  <si>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</si>
  <si>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</si>
  <si>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</si>
  <si>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</si>
  <si>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</si>
  <si>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</si>
  <si>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</si>
  <si>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</si>
  <si>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</si>
  <si>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</si>
  <si>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</si>
  <si>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</si>
  <si>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</si>
  <si>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</si>
  <si>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</si>
  <si>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</si>
  <si>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</si>
  <si>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</si>
  <si>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</si>
  <si>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</si>
  <si>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</si>
  <si>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</si>
  <si>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</si>
  <si>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</si>
  <si>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</si>
  <si>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</si>
  <si>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</si>
  <si>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</si>
  <si>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</si>
  <si>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</si>
  <si>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</si>
  <si>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</si>
  <si>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</si>
  <si>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</si>
  <si>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</si>
  <si>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</si>
  <si>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</si>
  <si>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</si>
  <si>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</si>
  <si>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</si>
  <si>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</si>
  <si>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</si>
  <si>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</si>
  <si>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</si>
  <si>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</si>
  <si>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</si>
  <si>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</si>
  <si>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</si>
  <si>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</si>
  <si>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</si>
  <si>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</si>
  <si>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</si>
  <si>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</si>
  <si>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</si>
  <si>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</si>
  <si>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</si>
  <si>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</si>
  <si>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</si>
  <si>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</si>
  <si>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</si>
  <si>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</si>
  <si>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</si>
  <si>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</si>
  <si>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</si>
  <si>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</si>
  <si>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</si>
  <si>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</si>
  <si>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</si>
  <si>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</si>
  <si>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</si>
  <si>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</si>
  <si>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</si>
  <si>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</si>
  <si>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</si>
  <si>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</si>
  <si>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</si>
  <si>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</si>
  <si>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</si>
  <si>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</si>
  <si>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</si>
  <si>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</si>
  <si>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</si>
  <si>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</si>
  <si>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</si>
  <si>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</si>
  <si>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</si>
  <si>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</si>
  <si>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</si>
  <si>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</si>
  <si>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</si>
  <si>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</si>
  <si>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</si>
  <si>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</si>
  <si>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</si>
  <si>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</si>
  <si>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</si>
  <si>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</si>
  <si>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</si>
  <si>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</si>
  <si>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</si>
  <si>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</si>
  <si>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</si>
  <si>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</si>
  <si>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</si>
  <si>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</si>
  <si>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</si>
  <si>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</si>
  <si>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</si>
  <si>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</si>
  <si>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</si>
  <si>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</si>
  <si>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</si>
  <si>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</si>
  <si>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</si>
  <si>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</si>
  <si>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</si>
  <si>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</si>
  <si>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</si>
  <si>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</si>
  <si>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</si>
  <si>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</si>
  <si>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</si>
  <si>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</si>
  <si>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</si>
  <si>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</si>
  <si>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</si>
  <si>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</si>
  <si>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</si>
  <si>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</si>
  <si>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</si>
  <si>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</si>
  <si>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</si>
  <si>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</si>
  <si>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</si>
  <si>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</si>
  <si>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</si>
  <si>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</si>
  <si>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</si>
  <si>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</si>
  <si>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</si>
  <si>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</si>
  <si>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</si>
  <si>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</si>
  <si>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</si>
  <si>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</si>
  <si>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</si>
  <si>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</si>
  <si>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</si>
  <si>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</si>
  <si>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</si>
  <si>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</si>
  <si>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</si>
  <si>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</si>
  <si>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</si>
  <si>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</si>
  <si>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</si>
  <si>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</si>
  <si>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</si>
  <si>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</si>
  <si>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</si>
  <si>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</si>
  <si>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</si>
  <si>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</si>
  <si>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</si>
  <si>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</si>
  <si>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</si>
  <si>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</si>
  <si>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</si>
  <si>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</si>
  <si>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</si>
  <si>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</si>
  <si>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</si>
  <si>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</si>
  <si>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</si>
  <si>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</si>
  <si>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</si>
  <si>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</si>
  <si>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</si>
  <si>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</si>
  <si>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</si>
  <si>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</si>
  <si>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</si>
  <si>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</si>
  <si>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</si>
  <si>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</si>
  <si>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</si>
  <si>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</si>
  <si>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</si>
  <si>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</si>
  <si>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</si>
  <si>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</si>
  <si>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</si>
  <si>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</si>
  <si>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</si>
  <si>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</si>
  <si>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</si>
  <si>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</si>
  <si>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</si>
  <si>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</si>
  <si>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</si>
  <si>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</si>
  <si>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</si>
  <si>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</si>
  <si>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</si>
  <si>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</si>
  <si>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</si>
  <si>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</si>
  <si>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</si>
  <si>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</si>
  <si>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</si>
  <si>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</si>
  <si>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</si>
  <si>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</si>
  <si>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</si>
  <si>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</si>
  <si>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</si>
  <si>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</si>
  <si>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</si>
  <si>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</si>
  <si>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</si>
  <si>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</si>
  <si>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</si>
  <si>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</si>
  <si>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</si>
  <si>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</si>
  <si>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</si>
  <si>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</si>
  <si>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</si>
  <si>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</si>
  <si>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</si>
  <si>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</si>
  <si>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</si>
  <si>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</si>
  <si>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</si>
  <si>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</si>
  <si>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</si>
  <si>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</si>
  <si>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</si>
  <si>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</si>
  <si>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</si>
  <si>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</si>
  <si>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</si>
  <si>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</si>
  <si>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</si>
  <si>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</si>
  <si>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</si>
  <si>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</si>
  <si>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</si>
  <si>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</si>
  <si>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</si>
  <si>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</si>
  <si>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</si>
  <si>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</si>
  <si>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</si>
  <si>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</si>
  <si>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</si>
  <si>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</si>
  <si>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</si>
  <si>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</si>
  <si>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</si>
  <si>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</si>
  <si>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</si>
  <si>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</si>
  <si>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</si>
  <si>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</si>
  <si>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</si>
  <si>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</si>
  <si>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</si>
  <si>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</si>
  <si>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</si>
  <si>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</si>
  <si>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</si>
  <si>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</si>
  <si>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</si>
  <si>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</si>
  <si>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</si>
  <si>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</si>
  <si>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</si>
  <si>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</si>
  <si>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</si>
  <si>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</si>
  <si>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</si>
  <si>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</si>
  <si>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</si>
  <si>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</si>
  <si>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</si>
  <si>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</si>
  <si>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</si>
  <si>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</si>
  <si>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</si>
  <si>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</si>
  <si>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</si>
  <si>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</si>
  <si>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</si>
  <si>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</si>
  <si>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</si>
  <si>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</si>
  <si>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</si>
  <si>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</si>
  <si>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</si>
  <si>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</si>
  <si>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</si>
  <si>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</si>
  <si>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</si>
  <si>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</si>
  <si>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</si>
  <si>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</si>
  <si>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</si>
  <si>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</si>
  <si>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</si>
  <si>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</si>
  <si>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</si>
  <si>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</si>
  <si>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</si>
  <si>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</si>
  <si>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</si>
  <si>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</si>
  <si>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</si>
  <si>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</si>
  <si>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</si>
  <si>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</si>
  <si>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</si>
  <si>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</si>
  <si>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</si>
  <si>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</si>
  <si>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</si>
  <si>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</si>
  <si>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</si>
  <si>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</si>
  <si>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</si>
  <si>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</si>
  <si>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</si>
  <si>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</si>
  <si>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</si>
  <si>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</si>
  <si>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</si>
  <si>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</si>
  <si>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</si>
  <si>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</si>
  <si>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</si>
  <si>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</si>
  <si>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</si>
  <si>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</si>
  <si>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</si>
  <si>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</si>
  <si>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</si>
  <si>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</si>
  <si>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</si>
  <si>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</si>
  <si>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</si>
  <si>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</si>
  <si>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</si>
  <si>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</si>
  <si>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</si>
  <si>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</si>
  <si>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</si>
  <si>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</si>
  <si>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</si>
  <si>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</si>
  <si>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</si>
  <si>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</si>
  <si>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</si>
  <si>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</si>
  <si>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</si>
  <si>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</si>
  <si>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</si>
  <si>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</si>
  <si>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</si>
  <si>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</si>
  <si>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</si>
  <si>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</si>
  <si>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</si>
  <si>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</si>
  <si>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</si>
  <si>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</si>
  <si>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</si>
  <si>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</si>
  <si>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</si>
  <si>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</si>
  <si>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</si>
  <si>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</si>
  <si>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</si>
  <si>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</si>
  <si>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</si>
  <si>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</si>
  <si>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</si>
  <si>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</si>
  <si>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</si>
  <si>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</si>
  <si>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</si>
  <si>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</si>
  <si>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</si>
  <si>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</si>
  <si>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</si>
  <si>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</si>
  <si>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</si>
  <si>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</si>
  <si>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</si>
  <si>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</si>
  <si>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</si>
  <si>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</si>
  <si>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</si>
  <si>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</si>
  <si>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</si>
  <si>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</si>
  <si>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</si>
  <si>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</si>
  <si>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</si>
  <si>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</si>
  <si>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</si>
  <si>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</si>
  <si>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</si>
  <si>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</si>
  <si>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</si>
  <si>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</si>
  <si>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</si>
  <si>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</si>
  <si>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</si>
  <si>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</si>
  <si>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</si>
  <si>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</si>
  <si>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</si>
  <si>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</si>
  <si>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</si>
  <si>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</si>
  <si>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</si>
  <si>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</si>
  <si>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</si>
  <si>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</si>
  <si>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</si>
  <si>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</si>
  <si>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</si>
  <si>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</si>
  <si>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</si>
  <si>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</si>
  <si>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</si>
  <si>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</si>
  <si>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</si>
  <si>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</si>
  <si>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</si>
  <si>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</si>
  <si>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</si>
  <si>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</si>
  <si>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</si>
  <si>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</si>
  <si>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</si>
  <si>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</si>
  <si>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</si>
  <si>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</si>
  <si>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</si>
  <si>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</si>
  <si>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</si>
  <si>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</si>
  <si>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</si>
  <si>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</si>
  <si>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</si>
  <si>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</si>
  <si>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</si>
  <si>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</si>
  <si>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</si>
  <si>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</si>
  <si>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</si>
  <si>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</si>
  <si>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</si>
  <si>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</si>
  <si>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</si>
  <si>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</si>
  <si>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</si>
  <si>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</si>
  <si>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</si>
  <si>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</si>
  <si>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</si>
  <si>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</si>
  <si>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</si>
  <si>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</si>
  <si>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</si>
  <si>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</si>
  <si>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</si>
  <si>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</si>
  <si>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</si>
  <si>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</si>
  <si>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</si>
  <si>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</si>
  <si>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</si>
  <si>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</si>
  <si>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</si>
  <si>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</si>
  <si>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</si>
  <si>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</si>
  <si>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</si>
  <si>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</si>
  <si>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</si>
  <si>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</si>
  <si>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</si>
  <si>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</si>
  <si>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</si>
  <si>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</si>
  <si>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</si>
  <si>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</si>
  <si>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</si>
  <si>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</si>
  <si>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</si>
  <si>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</si>
  <si>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</si>
  <si>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</si>
  <si>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</si>
  <si>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</si>
  <si>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</si>
  <si>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</si>
  <si>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</si>
  <si>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</si>
  <si>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</si>
  <si>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</si>
  <si>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</si>
  <si>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</si>
  <si>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</si>
  <si>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</si>
  <si>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</si>
  <si>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</si>
  <si>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</si>
  <si>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</si>
  <si>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</si>
  <si>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</si>
  <si>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</si>
  <si>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</si>
  <si>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</si>
  <si>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</si>
  <si>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</si>
  <si>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</si>
  <si>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</si>
  <si>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</si>
  <si>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</si>
  <si>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</si>
  <si>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</si>
  <si>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</si>
  <si>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</si>
  <si>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</si>
  <si>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</si>
  <si>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</si>
  <si>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</si>
  <si>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</si>
  <si>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</si>
  <si>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</si>
  <si>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</si>
  <si>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</si>
  <si>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</si>
  <si>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</si>
  <si>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</si>
  <si>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</si>
  <si>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</si>
  <si>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</si>
  <si>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</si>
  <si>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</si>
  <si>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</si>
  <si>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</si>
  <si>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</si>
  <si>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</si>
  <si>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</si>
  <si>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</si>
  <si>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</si>
  <si>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</si>
  <si>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</si>
  <si>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</si>
  <si>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</si>
  <si>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</si>
  <si>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</si>
  <si>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</si>
  <si>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</si>
  <si>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</si>
  <si>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</si>
  <si>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</si>
  <si>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</si>
  <si>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</si>
  <si>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</si>
  <si>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</si>
  <si>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</si>
  <si>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</si>
  <si>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</si>
  <si>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</si>
  <si>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</si>
  <si>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</si>
  <si>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</si>
  <si>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</si>
  <si>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</si>
  <si>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</si>
  <si>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</si>
  <si>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</si>
  <si>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</si>
  <si>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</si>
  <si>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</si>
  <si>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</si>
  <si>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</si>
  <si>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</si>
  <si>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</si>
  <si>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</si>
  <si>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</si>
  <si>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</si>
  <si>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</si>
  <si>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</si>
  <si>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</si>
  <si>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</si>
  <si>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</si>
  <si>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</si>
  <si>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</si>
  <si>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</si>
  <si>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</si>
  <si>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</si>
  <si>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</si>
  <si>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</si>
  <si>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</si>
  <si>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</si>
  <si>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</si>
  <si>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</si>
  <si>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</si>
  <si>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</si>
  <si>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</si>
  <si>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</si>
  <si>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</si>
  <si>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</si>
  <si>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</si>
  <si>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</si>
  <si>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</si>
  <si>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</si>
  <si>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</si>
  <si>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</si>
  <si>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</si>
  <si>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</si>
  <si>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</si>
  <si>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</si>
  <si>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</si>
  <si>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</si>
  <si>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</si>
  <si>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</si>
  <si>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</si>
  <si>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</si>
  <si>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</si>
  <si>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</si>
  <si>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</si>
  <si>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</si>
  <si>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</si>
  <si>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</si>
  <si>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</si>
  <si>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</si>
  <si>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</si>
  <si>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</si>
  <si>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</si>
  <si>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</si>
  <si>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</si>
  <si>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</si>
  <si>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</si>
  <si>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</si>
  <si>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</si>
  <si>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</si>
  <si>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</si>
  <si>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</si>
  <si>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</si>
  <si>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</si>
  <si>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</si>
  <si>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</si>
  <si>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</si>
  <si>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</si>
  <si>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</si>
  <si>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</si>
  <si>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</si>
  <si>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</si>
  <si>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</si>
  <si>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</si>
  <si>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</si>
  <si>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</si>
  <si>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</si>
  <si>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</si>
  <si>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</si>
  <si>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</si>
  <si>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</si>
  <si>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</si>
  <si>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</si>
  <si>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</si>
  <si>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</si>
  <si>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</si>
  <si>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</si>
  <si>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</si>
  <si>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</si>
  <si>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</si>
  <si>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</si>
  <si>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</si>
  <si>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</si>
  <si>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</si>
  <si>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</si>
  <si>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</si>
  <si>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</si>
  <si>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</si>
  <si>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</si>
  <si>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</si>
  <si>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</si>
  <si>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</si>
  <si>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</si>
  <si>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</si>
  <si>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</si>
  <si>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</si>
  <si>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</si>
  <si>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</si>
  <si>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</si>
  <si>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</si>
  <si>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</si>
  <si>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</si>
  <si>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</si>
  <si>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</si>
  <si>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</si>
  <si>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</si>
  <si>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</si>
  <si>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</si>
  <si>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</si>
  <si>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</si>
  <si>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</si>
  <si>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</si>
  <si>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</si>
  <si>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</si>
  <si>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</si>
  <si>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</si>
  <si>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</si>
  <si>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</si>
  <si>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</si>
  <si>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</si>
  <si>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</si>
  <si>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</si>
  <si>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</si>
  <si>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</si>
  <si>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</si>
  <si>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</si>
  <si>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</si>
  <si>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</si>
  <si>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</si>
  <si>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</si>
  <si>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</si>
  <si>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</si>
  <si>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</si>
  <si>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</si>
  <si>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</si>
  <si>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</si>
  <si>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</si>
  <si>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</si>
  <si>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</si>
  <si>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</si>
  <si>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</si>
  <si>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</si>
  <si>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</si>
  <si>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</si>
  <si>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</si>
  <si>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</si>
  <si>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</si>
  <si>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</si>
  <si>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</si>
  <si>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</si>
  <si>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</si>
  <si>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</si>
  <si>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</si>
  <si>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</si>
  <si>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</si>
  <si>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</si>
  <si>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</si>
  <si>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</si>
  <si>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</si>
  <si>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</si>
  <si>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</si>
  <si>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</si>
  <si>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</si>
  <si>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</si>
  <si>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</si>
  <si>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</si>
  <si>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</si>
  <si>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</si>
  <si>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</si>
  <si>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</si>
  <si>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</si>
  <si>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</si>
  <si>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</si>
  <si>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</si>
  <si>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</si>
  <si>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</si>
  <si>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</si>
  <si>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</si>
  <si>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</si>
  <si>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</si>
  <si>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</si>
  <si>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</si>
  <si>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</si>
  <si>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</si>
  <si>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</si>
  <si>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</si>
  <si>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</si>
  <si>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</si>
  <si>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</si>
  <si>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</si>
  <si>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</si>
  <si>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</si>
  <si>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</si>
  <si>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</si>
  <si>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</si>
  <si>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</si>
  <si>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</si>
  <si>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</si>
  <si>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</si>
  <si>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</si>
  <si>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</si>
  <si>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</si>
  <si>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</si>
  <si>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</si>
  <si>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</si>
  <si>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</si>
  <si>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</si>
  <si>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</si>
  <si>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</si>
  <si>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</si>
  <si>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</si>
  <si>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</si>
  <si>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</si>
  <si>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</si>
  <si>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</si>
  <si>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</si>
  <si>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</si>
  <si>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</si>
  <si>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</si>
  <si>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</si>
  <si>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</si>
  <si>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</si>
  <si>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</si>
  <si>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</si>
  <si>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</si>
  <si>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</si>
  <si>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</si>
  <si>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</si>
  <si>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</si>
  <si>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</si>
  <si>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</si>
  <si>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</si>
  <si>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</si>
  <si>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</si>
  <si>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</si>
  <si>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</si>
  <si>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</si>
  <si>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</si>
  <si>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</si>
  <si>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</si>
  <si>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</si>
  <si>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</si>
  <si>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</si>
  <si>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</si>
  <si>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</si>
  <si>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</si>
  <si>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</si>
  <si>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</si>
  <si>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</si>
  <si>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</si>
  <si>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</si>
  <si>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</si>
  <si>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</si>
  <si>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</si>
  <si>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</si>
  <si>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</si>
  <si>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</si>
  <si>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</si>
  <si>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</si>
  <si>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</si>
  <si>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</si>
  <si>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</si>
  <si>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</si>
  <si>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</si>
  <si>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</si>
  <si>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</si>
  <si>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</si>
  <si>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</si>
  <si>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</si>
  <si>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</si>
  <si>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</si>
  <si>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</si>
  <si>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</si>
  <si>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</si>
  <si>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</si>
  <si>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</si>
  <si>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</si>
  <si>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</si>
  <si>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</si>
  <si>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</si>
  <si>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</si>
  <si>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</si>
  <si>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</si>
  <si>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</si>
  <si>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</si>
  <si>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</si>
  <si>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</si>
  <si>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</si>
  <si>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</si>
  <si>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</si>
  <si>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</si>
  <si>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</si>
  <si>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</si>
  <si>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</si>
  <si>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</si>
  <si>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</si>
  <si>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</si>
  <si>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</si>
  <si>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</si>
  <si>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</si>
  <si>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</si>
  <si>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</si>
  <si>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</si>
  <si>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</si>
  <si>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</si>
  <si>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</si>
  <si>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</si>
  <si>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</si>
  <si>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</si>
  <si>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</si>
  <si>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</si>
  <si>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</si>
  <si>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</si>
  <si>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</si>
  <si>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</si>
  <si>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</si>
  <si>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</si>
  <si>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</si>
  <si>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</si>
  <si>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</si>
  <si>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</si>
  <si>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</si>
  <si>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</si>
  <si>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</si>
  <si>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</si>
  <si>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</si>
  <si>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</si>
  <si>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</si>
  <si>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</si>
  <si>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</si>
  <si>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</si>
  <si>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</si>
  <si>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</si>
  <si>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</si>
  <si>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</si>
  <si>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</si>
  <si>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</si>
  <si>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</si>
  <si>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</si>
  <si>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</si>
  <si>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</si>
  <si>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</si>
  <si>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</si>
  <si>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</si>
  <si>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</si>
  <si>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</si>
  <si>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</si>
  <si>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</si>
  <si>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</si>
  <si>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</si>
  <si>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</si>
  <si>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</si>
  <si>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</si>
  <si>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</si>
  <si>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</si>
  <si>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</si>
  <si>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</si>
  <si>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</si>
  <si>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</si>
  <si>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</si>
  <si>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</si>
  <si>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</si>
  <si>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</si>
  <si>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</si>
  <si>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</si>
  <si>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</si>
  <si>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</si>
  <si>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</si>
  <si>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</si>
  <si>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</si>
  <si>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</si>
  <si>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</si>
  <si>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</si>
  <si>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</si>
  <si>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</si>
  <si>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</si>
  <si>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</si>
  <si>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</si>
  <si>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</si>
  <si>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</si>
  <si>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</si>
  <si>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</si>
  <si>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</si>
  <si>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</si>
  <si>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</si>
  <si>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</si>
  <si>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</si>
  <si>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</si>
  <si>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</si>
  <si>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</si>
  <si>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</si>
  <si>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</si>
  <si>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</si>
  <si>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</si>
  <si>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</si>
  <si>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</si>
  <si>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</si>
  <si>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</si>
  <si>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</si>
  <si>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</si>
  <si>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</si>
  <si>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</si>
  <si>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</si>
  <si>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</si>
  <si>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</si>
  <si>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</si>
  <si>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</si>
  <si>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</si>
  <si>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</si>
  <si>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</si>
  <si>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</si>
  <si>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</si>
  <si>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</si>
  <si>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</si>
  <si>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</si>
  <si>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</si>
  <si>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</si>
  <si>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</si>
  <si>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</si>
  <si>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</si>
  <si>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</si>
  <si>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</si>
  <si>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</si>
  <si>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</si>
  <si>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</si>
  <si>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</si>
  <si>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</si>
  <si>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</si>
  <si>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</si>
  <si>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</si>
  <si>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</si>
  <si>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</si>
  <si>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</si>
  <si>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</si>
  <si>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</si>
  <si>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</si>
  <si>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</si>
  <si>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</si>
  <si>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</si>
  <si>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</si>
  <si>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</si>
  <si>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</si>
  <si>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</si>
  <si>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</si>
  <si>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</si>
  <si>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</si>
  <si>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</si>
  <si>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</si>
  <si>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</si>
  <si>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</si>
  <si>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</si>
  <si>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</si>
  <si>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</si>
  <si>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</si>
  <si>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</si>
  <si>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</si>
  <si>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</si>
  <si>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</si>
  <si>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</si>
  <si>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</si>
  <si>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</si>
  <si>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</si>
  <si>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</si>
  <si>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</si>
  <si>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</si>
  <si>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</si>
  <si>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</si>
  <si>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</si>
  <si>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</si>
  <si>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</si>
  <si>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</si>
  <si>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</si>
  <si>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</si>
  <si>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</si>
  <si>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</si>
  <si>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</si>
  <si>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</si>
  <si>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</si>
  <si>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</si>
  <si>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</si>
  <si>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</si>
  <si>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</si>
  <si>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</si>
  <si>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</si>
  <si>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</si>
  <si>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</si>
  <si>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</si>
  <si>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</si>
  <si>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</si>
  <si>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</si>
  <si>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</si>
  <si>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</si>
  <si>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</si>
  <si>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</si>
  <si>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</si>
  <si>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</si>
  <si>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</si>
  <si>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</si>
  <si>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</si>
  <si>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</si>
  <si>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</si>
  <si>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</si>
  <si>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</si>
  <si>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</si>
  <si>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</si>
  <si>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</si>
  <si>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</si>
  <si>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</si>
  <si>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</si>
  <si>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</si>
  <si>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</si>
  <si>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</si>
  <si>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</si>
  <si>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</si>
  <si>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</si>
  <si>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</si>
  <si>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</si>
  <si>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</si>
  <si>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</si>
  <si>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</si>
  <si>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</si>
  <si>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</si>
  <si>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</si>
  <si>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</si>
  <si>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</si>
  <si>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</si>
  <si>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</si>
  <si>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</si>
  <si>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</si>
  <si>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</si>
  <si>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</si>
  <si>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</si>
  <si>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</si>
  <si>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</si>
  <si>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</si>
  <si>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</si>
  <si>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</si>
  <si>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</si>
  <si>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</si>
  <si>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</si>
  <si>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</si>
  <si>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</si>
  <si>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</si>
  <si>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</si>
  <si>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</si>
  <si>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</si>
  <si>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</si>
  <si>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</si>
  <si>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</si>
  <si>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</si>
  <si>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</si>
  <si>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</si>
  <si>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</si>
  <si>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</si>
  <si>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</si>
  <si>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</si>
  <si>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</si>
  <si>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</si>
  <si>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</si>
  <si>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</si>
  <si>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</si>
  <si>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</si>
  <si>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</si>
  <si>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</si>
  <si>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</si>
  <si>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</si>
  <si>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</si>
  <si>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</si>
  <si>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</si>
  <si>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</si>
  <si>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</si>
  <si>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</si>
  <si>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</si>
  <si>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</si>
  <si>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</si>
  <si>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</si>
  <si>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</si>
  <si>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</si>
  <si>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</si>
  <si>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</si>
  <si>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</si>
  <si>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</si>
  <si>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</si>
  <si>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</si>
  <si>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</si>
  <si>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</si>
  <si>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</si>
  <si>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</si>
  <si>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</si>
  <si>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</si>
  <si>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</si>
  <si>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</si>
  <si>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</si>
  <si>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</si>
  <si>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</si>
  <si>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</si>
  <si>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</si>
  <si>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</si>
  <si>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</si>
  <si>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</si>
  <si>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</si>
  <si>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</si>
  <si>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</si>
  <si>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</si>
  <si>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</si>
  <si>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</si>
  <si>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</si>
  <si>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</si>
  <si>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</si>
  <si>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</si>
  <si>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</si>
  <si>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</si>
  <si>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</si>
  <si>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</si>
  <si>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</si>
  <si>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</si>
  <si>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</si>
  <si>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</si>
  <si>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</si>
  <si>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</si>
  <si>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</si>
  <si>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</si>
  <si>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</si>
  <si>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</si>
  <si>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</si>
  <si>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</si>
  <si>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</si>
  <si>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</si>
  <si>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</si>
  <si>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</si>
  <si>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</si>
  <si>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</si>
  <si>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</si>
  <si>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</si>
  <si>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</si>
  <si>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</si>
  <si>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</si>
  <si>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</si>
  <si>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</si>
  <si>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</si>
  <si>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</si>
  <si>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</si>
  <si>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</si>
  <si>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</si>
  <si>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</si>
  <si>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</si>
  <si>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</si>
  <si>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</si>
  <si>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</si>
  <si>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</si>
  <si>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</si>
  <si>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</si>
  <si>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</si>
  <si>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</si>
  <si>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</si>
  <si>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</si>
  <si>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</si>
  <si>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</si>
  <si>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</si>
  <si>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</si>
  <si>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</si>
  <si>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</si>
  <si>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</si>
  <si>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</si>
  <si>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</si>
  <si>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</si>
  <si>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</si>
  <si>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</si>
  <si>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</si>
  <si>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</si>
  <si>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</si>
  <si>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</si>
  <si>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</si>
  <si>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</si>
  <si>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</si>
  <si>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</si>
  <si>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</si>
  <si>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</si>
  <si>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</si>
  <si>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</si>
  <si>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</si>
  <si>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</si>
  <si>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</si>
  <si>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</si>
  <si>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</si>
  <si>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</si>
  <si>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</si>
  <si>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</si>
  <si>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</si>
  <si>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</si>
  <si>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</si>
  <si>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</si>
  <si>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</si>
  <si>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</si>
  <si>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</si>
  <si>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</si>
  <si>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</si>
  <si>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</si>
  <si>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</si>
  <si>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</si>
  <si>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</si>
  <si>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</si>
  <si>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</si>
  <si>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</si>
  <si>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</si>
  <si>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</si>
  <si>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</si>
  <si>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</si>
  <si>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</si>
  <si>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</si>
  <si>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</si>
  <si>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</si>
  <si>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</si>
  <si>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</si>
  <si>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</si>
  <si>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</si>
  <si>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</si>
  <si>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</si>
  <si>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</si>
  <si>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</si>
  <si>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</si>
  <si>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</si>
  <si>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</si>
  <si>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</si>
  <si>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</si>
  <si>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</si>
  <si>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</si>
  <si>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</si>
  <si>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</si>
  <si>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</si>
  <si>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</si>
  <si>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</si>
  <si>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</si>
  <si>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</si>
  <si>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</si>
  <si>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</si>
  <si>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</si>
  <si>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</si>
  <si>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</si>
  <si>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</si>
  <si>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</si>
  <si>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</si>
  <si>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</si>
  <si>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</si>
  <si>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</si>
  <si>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</si>
  <si>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</si>
  <si>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</si>
  <si>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</si>
  <si>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</si>
  <si>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</si>
  <si>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</si>
  <si>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</si>
  <si>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</si>
  <si>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</si>
  <si>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</si>
  <si>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</si>
  <si>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</si>
  <si>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</si>
  <si>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</si>
  <si>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</si>
  <si>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</si>
  <si>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</si>
  <si>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</si>
  <si>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</si>
  <si>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</si>
  <si>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</si>
  <si>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</si>
  <si>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</si>
  <si>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</si>
  <si>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</si>
  <si>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</si>
  <si>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</si>
  <si>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</si>
  <si>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</si>
  <si>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</si>
  <si>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</si>
  <si>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</si>
  <si>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</si>
  <si>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</si>
  <si>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</si>
  <si>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</si>
  <si>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</si>
  <si>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</si>
  <si>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</si>
  <si>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</si>
  <si>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</si>
  <si>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</si>
  <si>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</si>
  <si>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</si>
  <si>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</si>
  <si>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</si>
  <si>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</si>
  <si>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</si>
  <si>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</si>
  <si>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</si>
  <si>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</si>
  <si>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</si>
  <si>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</si>
  <si>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</si>
  <si>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</si>
  <si>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</si>
  <si>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</si>
  <si>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</si>
  <si>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</si>
  <si>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</si>
  <si>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</si>
  <si>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</si>
  <si>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</si>
  <si>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</si>
  <si>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</si>
  <si>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</si>
  <si>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</si>
  <si>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</si>
  <si>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</si>
  <si>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</si>
  <si>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</si>
  <si>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</si>
  <si>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</si>
  <si>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</si>
  <si>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</si>
  <si>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</si>
  <si>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</si>
  <si>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</si>
  <si>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</si>
  <si>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</si>
  <si>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</si>
  <si>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</si>
  <si>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</si>
  <si>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</si>
  <si>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</si>
  <si>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</si>
  <si>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</si>
  <si>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</si>
  <si>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</si>
  <si>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</si>
  <si>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</si>
  <si>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</si>
  <si>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</si>
  <si>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</si>
  <si>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</si>
  <si>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</si>
  <si>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</si>
  <si>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</si>
  <si>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</si>
  <si>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</si>
  <si>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</si>
  <si>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</si>
  <si>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</si>
  <si>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</si>
  <si>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</si>
  <si>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</si>
  <si>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</si>
  <si>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</si>
  <si>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</si>
  <si>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</si>
  <si>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</si>
  <si>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</si>
  <si>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</si>
  <si>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</si>
  <si>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</si>
  <si>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</si>
  <si>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</si>
  <si>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</si>
  <si>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</si>
  <si>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</si>
  <si>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</si>
  <si>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</si>
  <si>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</si>
  <si>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</si>
  <si>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</si>
  <si>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</si>
  <si>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</si>
  <si>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</si>
  <si>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</si>
  <si>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</si>
  <si>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</si>
  <si>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</si>
  <si>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</si>
  <si>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</si>
  <si>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</si>
  <si>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</si>
  <si>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</si>
  <si>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</si>
  <si>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</si>
  <si>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</si>
  <si>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</si>
  <si>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</si>
  <si>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</si>
  <si>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</si>
  <si>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</si>
  <si>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</si>
  <si>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</si>
  <si>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</si>
  <si>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</si>
  <si>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</si>
  <si>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</si>
  <si>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</si>
  <si>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</si>
  <si>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</si>
  <si>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</si>
  <si>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</si>
  <si>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</si>
  <si>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</si>
  <si>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</si>
  <si>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</si>
  <si>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</si>
  <si>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</si>
  <si>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</si>
  <si>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</si>
  <si>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</si>
  <si>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</si>
  <si>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</si>
  <si>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</si>
  <si>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</si>
  <si>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</si>
  <si>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</si>
  <si>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</si>
  <si>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</si>
  <si>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</si>
  <si>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</si>
  <si>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</si>
  <si>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</si>
  <si>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</si>
  <si>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</si>
  <si>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</si>
  <si>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</si>
  <si>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</si>
  <si>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</si>
  <si>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</si>
  <si>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</si>
  <si>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</si>
  <si>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</si>
  <si>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</si>
  <si>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</si>
  <si>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</si>
  <si>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</si>
  <si>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</si>
  <si>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</si>
  <si>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</si>
  <si>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</si>
  <si>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</si>
  <si>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</si>
  <si>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</si>
  <si>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</si>
  <si>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</si>
  <si>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</si>
  <si>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</si>
  <si>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</si>
  <si>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</si>
  <si>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</si>
  <si>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</si>
  <si>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</si>
  <si>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</si>
  <si>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</si>
  <si>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</si>
  <si>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</si>
  <si>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</si>
  <si>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</si>
  <si>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</si>
  <si>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</si>
  <si>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</si>
  <si>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</si>
  <si>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</si>
  <si>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</si>
  <si>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</si>
  <si>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</si>
  <si>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</si>
  <si>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</si>
  <si>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</si>
  <si>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</si>
  <si>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</si>
  <si>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</si>
  <si>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</si>
  <si>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</si>
  <si>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</si>
  <si>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</si>
  <si>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</si>
  <si>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</si>
  <si>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</si>
  <si>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</si>
  <si>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</si>
  <si>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</si>
  <si>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</si>
  <si>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</si>
  <si>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</si>
  <si>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</si>
  <si>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</si>
  <si>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</si>
  <si>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</si>
  <si>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</si>
  <si>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</si>
  <si>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</si>
  <si>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</si>
  <si>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</si>
  <si>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</si>
  <si>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</si>
  <si>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</si>
  <si>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</si>
  <si>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</si>
  <si>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</si>
  <si>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</si>
  <si>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</si>
  <si>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</si>
  <si>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</si>
  <si>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</si>
  <si>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</si>
  <si>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</si>
  <si>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</si>
  <si>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</si>
  <si>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</si>
  <si>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</si>
  <si>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</si>
  <si>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</si>
  <si>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</si>
  <si>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</si>
  <si>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</si>
  <si>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</si>
  <si>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</si>
  <si>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</si>
  <si>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</si>
  <si>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</si>
  <si>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</si>
  <si>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</si>
  <si>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</si>
  <si>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</si>
  <si>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</si>
  <si>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</si>
  <si>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</si>
  <si>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</si>
  <si>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</si>
  <si>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</si>
  <si>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</si>
  <si>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</si>
  <si>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</si>
  <si>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</si>
  <si>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</si>
  <si>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</si>
  <si>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</si>
  <si>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</si>
  <si>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</si>
  <si>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</si>
  <si>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</si>
  <si>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</si>
  <si>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</si>
  <si>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</si>
  <si>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</si>
  <si>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</si>
  <si>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</si>
  <si>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</si>
  <si>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</si>
  <si>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</si>
  <si>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</si>
  <si>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</si>
  <si>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</si>
  <si>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</si>
  <si>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</si>
  <si>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</si>
  <si>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</si>
  <si>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</si>
  <si>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</si>
  <si>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</si>
  <si>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</si>
  <si>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</si>
  <si>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</si>
  <si>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</si>
  <si>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</si>
  <si>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</si>
  <si>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</si>
  <si>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</si>
  <si>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</si>
  <si>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</si>
  <si>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</si>
  <si>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</si>
  <si>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</si>
  <si>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</si>
  <si>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</si>
  <si>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</si>
  <si>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</si>
  <si>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</si>
  <si>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</si>
  <si>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</si>
  <si>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</si>
  <si>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</si>
  <si>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</si>
  <si>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</si>
  <si>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</si>
  <si>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</si>
  <si>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</si>
  <si>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</si>
  <si>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</si>
  <si>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</si>
  <si>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</si>
  <si>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</si>
  <si>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</si>
  <si>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</si>
  <si>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</si>
  <si>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</si>
  <si>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</si>
  <si>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</si>
  <si>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</si>
  <si>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</si>
  <si>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</si>
  <si>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</si>
  <si>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</si>
  <si>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</si>
  <si>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</si>
  <si>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</si>
  <si>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</si>
  <si>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</si>
  <si>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</si>
  <si>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</si>
  <si>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</si>
  <si>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</si>
  <si>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</si>
  <si>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</si>
  <si>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</si>
  <si>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</si>
  <si>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</si>
  <si>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</si>
  <si>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</si>
  <si>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</si>
  <si>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</si>
  <si>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</si>
  <si>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</si>
  <si>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</si>
  <si>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</si>
  <si>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</si>
  <si>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</si>
  <si>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</si>
  <si>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</si>
  <si>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</si>
  <si>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</si>
  <si>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</si>
  <si>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</si>
  <si>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</si>
  <si>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</si>
  <si>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</si>
  <si>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</si>
  <si>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</si>
  <si>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</si>
  <si>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</si>
  <si>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</si>
  <si>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</si>
  <si>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</si>
  <si>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</si>
  <si>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</si>
  <si>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</si>
  <si>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</si>
  <si>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</si>
  <si>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</si>
  <si>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</si>
  <si>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</si>
  <si>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</si>
  <si>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</si>
  <si>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</si>
  <si>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</si>
  <si>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</si>
  <si>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</si>
  <si>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</si>
  <si>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</si>
  <si>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</si>
  <si>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</si>
  <si>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</si>
  <si>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</si>
  <si>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</si>
  <si>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</si>
  <si>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</si>
  <si>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</si>
  <si>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</si>
  <si>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</si>
  <si>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</si>
  <si>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</si>
  <si>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</si>
  <si>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</si>
  <si>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</si>
  <si>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</si>
  <si>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</si>
  <si>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</si>
  <si>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</si>
  <si>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</si>
  <si>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</si>
  <si>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</si>
  <si>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</si>
  <si>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</si>
  <si>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</si>
  <si>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</si>
  <si>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</si>
  <si>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</si>
  <si>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</si>
  <si>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</si>
  <si>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</si>
  <si>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</si>
  <si>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</si>
  <si>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</si>
  <si>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</si>
  <si>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</si>
  <si>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</si>
  <si>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</si>
  <si>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</si>
  <si>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</si>
  <si>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</si>
  <si>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</si>
  <si>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</si>
  <si>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</si>
  <si>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</si>
  <si>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</si>
  <si>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</si>
  <si>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</si>
  <si>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</si>
  <si>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</si>
  <si>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</si>
  <si>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</si>
  <si>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</si>
  <si>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</si>
  <si>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</si>
  <si>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</si>
  <si>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</si>
  <si>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</si>
  <si>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</si>
  <si>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</si>
  <si>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</si>
  <si>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</si>
  <si>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</si>
  <si>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</si>
  <si>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</si>
  <si>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</si>
  <si>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</si>
  <si>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</si>
  <si>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</si>
  <si>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</si>
  <si>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</si>
  <si>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</si>
  <si>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</si>
  <si>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</si>
  <si>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</si>
  <si>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</si>
  <si>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</si>
  <si>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</si>
  <si>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</si>
  <si>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</si>
  <si>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</si>
  <si>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</si>
  <si>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</si>
  <si>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</si>
  <si>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</si>
  <si>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</si>
  <si>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</si>
  <si>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</si>
  <si>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</si>
  <si>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</si>
  <si>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</si>
  <si>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</si>
  <si>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</si>
  <si>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</si>
  <si>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</si>
  <si>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</si>
  <si>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</si>
  <si>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</si>
  <si>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</si>
  <si>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</si>
  <si>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</si>
  <si>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</si>
  <si>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</si>
  <si>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</si>
  <si>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</si>
  <si>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</si>
  <si>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</si>
  <si>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</si>
  <si>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</si>
  <si>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</si>
  <si>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</si>
  <si>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</si>
  <si>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</si>
  <si>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</si>
  <si>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</si>
  <si>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</si>
  <si>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</si>
  <si>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</si>
  <si>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</si>
  <si>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</si>
  <si>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</si>
  <si>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</si>
  <si>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</si>
  <si>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</si>
  <si>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</si>
  <si>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</si>
  <si>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</si>
  <si>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</si>
  <si>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</si>
  <si>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</si>
  <si>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</si>
  <si>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</si>
  <si>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</si>
  <si>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</si>
  <si>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</si>
  <si>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</si>
  <si>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</si>
  <si>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</si>
  <si>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</si>
  <si>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</si>
  <si>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</si>
  <si>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</si>
  <si>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</si>
  <si>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</si>
  <si>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</si>
  <si>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</si>
  <si>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</si>
  <si>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</si>
  <si>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</si>
  <si>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</si>
  <si>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</si>
  <si>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</si>
  <si>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</si>
  <si>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</si>
  <si>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</si>
  <si>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</si>
  <si>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</si>
  <si>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</si>
  <si>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</si>
  <si>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</si>
  <si>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</si>
  <si>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</si>
  <si>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</si>
  <si>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</si>
  <si>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</si>
  <si>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</si>
  <si>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</si>
  <si>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</si>
  <si>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</si>
  <si>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</si>
  <si>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</si>
  <si>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</si>
  <si>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</si>
  <si>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</si>
  <si>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</si>
  <si>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</si>
  <si>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</si>
  <si>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</si>
  <si>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</si>
  <si>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</si>
  <si>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</si>
  <si>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</si>
  <si>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</si>
  <si>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</si>
  <si>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</si>
  <si>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</si>
  <si>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</si>
  <si>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</si>
  <si>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</si>
  <si>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</si>
  <si>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</si>
  <si>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</si>
  <si>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</si>
  <si>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</si>
  <si>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</si>
  <si>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</si>
  <si>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</si>
  <si>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</si>
  <si>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</si>
  <si>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</si>
  <si>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</si>
  <si>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</si>
  <si>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</si>
  <si>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</si>
  <si>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</si>
  <si>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</si>
  <si>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</si>
  <si>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</si>
  <si>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</si>
  <si>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</si>
  <si>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</si>
  <si>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</si>
  <si>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</si>
  <si>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</si>
  <si>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</si>
  <si>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</si>
  <si>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</si>
  <si>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</si>
  <si>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</si>
  <si>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</si>
  <si>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</si>
  <si>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</si>
  <si>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</si>
  <si>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</si>
  <si>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</si>
  <si>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</si>
  <si>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</si>
  <si>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</si>
  <si>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</si>
  <si>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</si>
  <si>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</si>
  <si>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</si>
  <si>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</si>
  <si>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</si>
  <si>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</si>
  <si>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</si>
  <si>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</si>
  <si>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</si>
  <si>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</si>
  <si>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</si>
  <si>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</si>
  <si>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</si>
  <si>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</si>
  <si>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</si>
  <si>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</si>
  <si>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</si>
  <si>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</si>
  <si>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</si>
  <si>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</si>
  <si>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</si>
  <si>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</si>
  <si>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</si>
  <si>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</si>
  <si>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</si>
  <si>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</si>
  <si>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</si>
  <si>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</si>
  <si>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</si>
  <si>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</si>
  <si>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</si>
  <si>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</si>
  <si>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</si>
  <si>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</si>
  <si>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</si>
  <si>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</si>
  <si>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</si>
  <si>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</si>
  <si>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</si>
  <si>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</si>
  <si>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</si>
  <si>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</si>
  <si>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</si>
  <si>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</si>
  <si>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</si>
  <si>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</si>
  <si>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</si>
  <si>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</si>
  <si>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</si>
  <si>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</si>
  <si>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</si>
  <si>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</si>
  <si>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</si>
  <si>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</si>
  <si>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</si>
  <si>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</si>
  <si>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</si>
  <si>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</si>
  <si>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</si>
  <si>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</si>
  <si>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</si>
  <si>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</si>
  <si>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</si>
  <si>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</si>
  <si>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</si>
  <si>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</si>
  <si>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</si>
  <si>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</si>
  <si>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</si>
  <si>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</si>
  <si>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</si>
  <si>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</si>
  <si>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</si>
  <si>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</si>
  <si>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</si>
  <si>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</si>
  <si>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</si>
  <si>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</si>
  <si>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</si>
  <si>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</si>
  <si>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</si>
  <si>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</si>
  <si>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</si>
  <si>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</si>
  <si>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</si>
  <si>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</si>
  <si>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</si>
  <si>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</si>
  <si>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</si>
  <si>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</si>
  <si>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</si>
  <si>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</si>
  <si>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</si>
  <si>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</si>
  <si>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</si>
  <si>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</si>
  <si>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</si>
  <si>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</si>
  <si>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</si>
  <si>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</si>
  <si>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</si>
  <si>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</si>
  <si>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</si>
  <si>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</si>
  <si>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</si>
  <si>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</si>
  <si>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</si>
  <si>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</si>
  <si>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</si>
  <si>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</si>
  <si>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</si>
  <si>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</si>
  <si>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</si>
  <si>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</si>
  <si>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</si>
  <si>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</si>
  <si>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</si>
  <si>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</si>
  <si>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</si>
  <si>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</si>
  <si>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</si>
  <si>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</si>
  <si>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</si>
  <si>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</si>
  <si>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</si>
  <si>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</si>
  <si>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</si>
  <si>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</si>
  <si>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</si>
  <si>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</si>
  <si>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</si>
  <si>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</si>
  <si>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</si>
  <si>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</si>
  <si>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</si>
  <si>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</si>
  <si>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</si>
  <si>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</si>
  <si>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</si>
  <si>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</si>
  <si>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</si>
  <si>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</si>
  <si>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</si>
  <si>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</si>
  <si>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</si>
  <si>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</si>
  <si>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</si>
  <si>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</si>
  <si>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</si>
  <si>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</si>
  <si>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</si>
  <si>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</si>
  <si>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</si>
  <si>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</si>
  <si>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</si>
  <si>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</si>
  <si>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</si>
  <si>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</si>
  <si>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</si>
  <si>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</si>
  <si>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</si>
  <si>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</si>
  <si>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</si>
  <si>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</si>
  <si>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</si>
  <si>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</si>
  <si>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</si>
  <si>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</si>
  <si>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</si>
  <si>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</si>
  <si>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</si>
  <si>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</si>
  <si>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</si>
  <si>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</si>
  <si>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</si>
  <si>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</si>
  <si>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</si>
  <si>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</si>
  <si>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</si>
  <si>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</si>
  <si>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</si>
  <si>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</si>
  <si>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</si>
  <si>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</si>
  <si>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</si>
  <si>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</si>
  <si>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</si>
  <si>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</si>
  <si>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</si>
  <si>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</si>
  <si>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</si>
  <si>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</si>
  <si>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</si>
  <si>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</si>
  <si>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</si>
  <si>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</si>
  <si>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</si>
  <si>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</si>
  <si>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</si>
  <si>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</si>
  <si>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</si>
  <si>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</si>
  <si>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</si>
  <si>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</si>
  <si>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</si>
  <si>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</si>
  <si>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</si>
  <si>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</si>
  <si>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</si>
  <si>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</si>
  <si>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</si>
  <si>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</si>
  <si>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</si>
  <si>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</si>
  <si>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</si>
  <si>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</si>
  <si>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</si>
  <si>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</si>
  <si>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</si>
  <si>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</si>
  <si>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</si>
  <si>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</si>
  <si>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</si>
  <si>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</si>
  <si>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</si>
  <si>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</si>
  <si>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</si>
  <si>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</si>
  <si>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</si>
  <si>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</si>
  <si>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</si>
  <si>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</si>
  <si>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</si>
  <si>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</si>
  <si>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</si>
  <si>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</si>
  <si>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</si>
  <si>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</si>
  <si>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</si>
  <si>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</si>
  <si>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</si>
  <si>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</si>
  <si>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</si>
  <si>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</si>
  <si>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</si>
  <si>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</si>
  <si>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</si>
  <si>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</si>
  <si>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</si>
  <si>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</si>
  <si>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</si>
  <si>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</si>
  <si>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</si>
  <si>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</si>
  <si>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</si>
  <si>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</si>
  <si>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</si>
  <si>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</si>
  <si>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</si>
  <si>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</si>
  <si>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</si>
  <si>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</si>
  <si>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</si>
  <si>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</si>
  <si>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</si>
  <si>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</si>
  <si>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</si>
  <si>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</si>
  <si>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</si>
  <si>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</si>
  <si>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</si>
  <si>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</si>
  <si>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</si>
  <si>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</si>
  <si>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</si>
  <si>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</si>
  <si>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</si>
  <si>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</si>
  <si>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</si>
  <si>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</si>
  <si>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</si>
  <si>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</si>
  <si>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</si>
  <si>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</si>
  <si>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</si>
  <si>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</si>
  <si>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</si>
  <si>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</si>
  <si>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</si>
  <si>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</si>
  <si>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</si>
  <si>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</si>
  <si>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</si>
  <si>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</si>
  <si>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</si>
  <si>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</si>
  <si>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</si>
  <si>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</si>
  <si>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</si>
  <si>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</si>
  <si>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</si>
  <si>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</si>
  <si>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</si>
  <si>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</si>
  <si>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</si>
  <si>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</si>
  <si>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</si>
  <si>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</si>
  <si>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</si>
  <si>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</si>
  <si>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</si>
  <si>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</si>
  <si>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</si>
  <si>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</si>
  <si>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</si>
  <si>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</si>
  <si>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</si>
  <si>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</si>
  <si>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</si>
  <si>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</si>
  <si>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</si>
  <si>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</si>
  <si>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</si>
  <si>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</si>
  <si>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</si>
  <si>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</si>
  <si>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</si>
  <si>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</si>
  <si>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</si>
  <si>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</si>
  <si>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</si>
  <si>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</si>
  <si>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</si>
  <si>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</si>
  <si>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</si>
  <si>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</si>
  <si>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</si>
  <si>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</si>
  <si>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</si>
  <si>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</si>
  <si>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</si>
  <si>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</si>
  <si>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</si>
  <si>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</si>
  <si>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</si>
  <si>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</si>
  <si>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</si>
  <si>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</si>
  <si>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</si>
  <si>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</si>
  <si>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</si>
  <si>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</si>
  <si>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</si>
  <si>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</si>
  <si>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</si>
  <si>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</si>
  <si>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</si>
  <si>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</si>
  <si>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</si>
  <si>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</si>
  <si>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</si>
  <si>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</si>
  <si>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</si>
  <si>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</si>
  <si>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</si>
  <si>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</si>
  <si>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</si>
  <si>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</si>
  <si>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</si>
  <si>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</si>
  <si>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</si>
  <si>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</si>
  <si>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</si>
  <si>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</si>
  <si>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</si>
  <si>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</si>
  <si>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</si>
  <si>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</si>
  <si>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</si>
  <si>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</si>
  <si>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</si>
  <si>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</si>
  <si>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</si>
  <si>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</si>
  <si>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</si>
  <si>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</si>
  <si>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</si>
  <si>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</si>
  <si>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</si>
  <si>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</si>
  <si>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</si>
  <si>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</si>
  <si>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</si>
  <si>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</si>
  <si>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</si>
  <si>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</si>
  <si>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</si>
  <si>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</si>
  <si>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</si>
  <si>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</si>
  <si>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</si>
  <si>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</si>
  <si>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</si>
  <si>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</si>
  <si>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</si>
  <si>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</si>
  <si>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</si>
  <si>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</si>
  <si>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</si>
  <si>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</si>
  <si>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</si>
  <si>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</si>
  <si>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</si>
  <si>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</si>
  <si>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</si>
  <si>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</si>
  <si>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</si>
  <si>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</si>
  <si>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</si>
  <si>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</si>
  <si>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</si>
  <si>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</si>
  <si>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</si>
  <si>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</si>
  <si>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</si>
  <si>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</si>
  <si>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</si>
  <si>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</si>
  <si>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</si>
  <si>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</si>
  <si>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</si>
  <si>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</si>
  <si>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</si>
  <si>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</si>
  <si>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</si>
  <si>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</si>
  <si>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</si>
  <si>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</si>
  <si>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</si>
  <si>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</si>
  <si>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</si>
  <si>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</si>
  <si>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</si>
  <si>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</si>
  <si>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</si>
  <si>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</si>
  <si>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</si>
  <si>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</si>
  <si>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</si>
  <si>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</si>
  <si>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</si>
  <si>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</si>
  <si>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</si>
  <si>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</si>
  <si>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</si>
  <si>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</si>
  <si>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</si>
  <si>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</si>
  <si>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</si>
  <si>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</si>
  <si>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</si>
  <si>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</si>
  <si>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</si>
  <si>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</si>
  <si>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</si>
  <si>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</si>
  <si>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</si>
  <si>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</si>
  <si>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</si>
  <si>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</si>
  <si>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</si>
  <si>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</si>
  <si>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</si>
  <si>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</si>
  <si>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</si>
  <si>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</si>
  <si>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</si>
  <si>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</si>
  <si>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</si>
  <si>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</si>
  <si>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</si>
  <si>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</si>
  <si>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</si>
  <si>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</si>
  <si>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</si>
  <si>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</si>
  <si>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</si>
  <si>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</si>
  <si>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</si>
  <si>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</si>
  <si>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</si>
  <si>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</si>
  <si>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</si>
  <si>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</si>
  <si>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</si>
  <si>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</si>
  <si>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</si>
  <si>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</si>
  <si>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</si>
  <si>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</si>
  <si>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</si>
  <si>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</si>
  <si>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</si>
  <si>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</si>
  <si>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</si>
  <si>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</si>
  <si>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</si>
  <si>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</si>
  <si>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</si>
  <si>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</si>
  <si>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</si>
  <si>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</si>
  <si>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</si>
  <si>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</si>
  <si>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</si>
  <si>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</si>
  <si>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</si>
  <si>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</si>
  <si>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</si>
  <si>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</si>
  <si>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</si>
  <si>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</si>
  <si>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</si>
  <si>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</si>
  <si>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</si>
  <si>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</si>
  <si>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</si>
  <si>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</si>
  <si>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</si>
  <si>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</si>
  <si>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</si>
  <si>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</si>
  <si>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</si>
  <si>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</si>
  <si>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</si>
  <si>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</si>
  <si>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</si>
  <si>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</si>
  <si>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</si>
  <si>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</si>
  <si>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</si>
  <si>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</si>
  <si>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</si>
  <si>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</si>
  <si>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</si>
  <si>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</si>
  <si>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</si>
  <si>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</si>
  <si>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</si>
  <si>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</si>
  <si>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</si>
  <si>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</si>
  <si>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</si>
  <si>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</si>
  <si>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</si>
  <si>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</si>
  <si>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</si>
  <si>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</si>
  <si>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</si>
  <si>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</si>
  <si>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</si>
  <si>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</si>
  <si>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</si>
  <si>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</si>
  <si>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</si>
  <si>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</si>
  <si>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</si>
  <si>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</si>
  <si>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</si>
  <si>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</si>
  <si>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</si>
  <si>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</si>
  <si>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</si>
  <si>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</si>
  <si>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</si>
  <si>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</si>
  <si>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</si>
  <si>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</si>
  <si>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</si>
  <si>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</si>
  <si>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</si>
  <si>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</si>
  <si>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</si>
  <si>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</si>
  <si>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</si>
  <si>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</si>
  <si>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</si>
  <si>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</si>
  <si>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</si>
  <si>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</si>
  <si>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</si>
  <si>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</si>
  <si>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</si>
  <si>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</si>
  <si>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</si>
  <si>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</si>
  <si>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</si>
  <si>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</si>
  <si>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</si>
  <si>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</si>
  <si>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</si>
  <si>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</si>
  <si>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</si>
  <si>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</si>
  <si>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</si>
  <si>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</si>
  <si>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</si>
  <si>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</si>
  <si>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</si>
  <si>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</si>
  <si>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</si>
  <si>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</si>
  <si>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</si>
  <si>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</si>
  <si>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</si>
  <si>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</si>
  <si>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</si>
  <si>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</si>
  <si>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</si>
  <si>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</si>
  <si>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</si>
  <si>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</si>
  <si>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</si>
  <si>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</si>
  <si>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</si>
  <si>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</si>
  <si>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</si>
  <si>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</si>
  <si>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</si>
  <si>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</si>
  <si>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</si>
  <si>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</si>
  <si>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</si>
  <si>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</si>
  <si>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</si>
  <si>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</si>
  <si>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</si>
  <si>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</si>
  <si>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</si>
  <si>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</si>
  <si>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</si>
  <si>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</si>
  <si>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</si>
  <si>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</si>
  <si>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</si>
  <si>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</si>
  <si>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</si>
  <si>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</si>
  <si>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</si>
  <si>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</si>
  <si>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</si>
  <si>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</si>
  <si>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</si>
  <si>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</si>
  <si>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</si>
  <si>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</si>
  <si>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</si>
  <si>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</si>
  <si>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</si>
  <si>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</si>
  <si>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</si>
  <si>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</si>
  <si>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</si>
  <si>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</si>
  <si>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</si>
  <si>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</si>
  <si>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</si>
  <si>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</si>
  <si>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</si>
  <si>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</si>
  <si>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</si>
  <si>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</si>
  <si>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</si>
  <si>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</si>
  <si>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</si>
  <si>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</si>
  <si>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</si>
  <si>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</si>
  <si>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</si>
  <si>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</si>
  <si>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</si>
  <si>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</si>
  <si>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</si>
  <si>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</si>
  <si>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</si>
  <si>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</si>
  <si>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</si>
  <si>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</si>
  <si>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</si>
  <si>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</si>
  <si>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</si>
  <si>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</si>
  <si>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</si>
  <si>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</si>
  <si>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</si>
  <si>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</si>
  <si>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</si>
  <si>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</si>
  <si>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</si>
  <si>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</si>
  <si>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</si>
  <si>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</si>
  <si>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</si>
  <si>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</si>
  <si>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</si>
  <si>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</si>
  <si>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</si>
  <si>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</si>
  <si>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</si>
  <si>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</si>
  <si>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</si>
  <si>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</si>
  <si>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</si>
  <si>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</si>
  <si>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</si>
  <si>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</si>
  <si>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</si>
  <si>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</si>
  <si>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</si>
  <si>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</si>
  <si>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</si>
  <si>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</si>
  <si>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</si>
  <si>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</si>
  <si>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</si>
  <si>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</si>
  <si>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</si>
  <si>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</si>
  <si>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</si>
  <si>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</si>
  <si>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</si>
  <si>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</si>
  <si>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</si>
  <si>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</si>
  <si>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</si>
  <si>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</si>
  <si>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</si>
  <si>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</si>
  <si>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</si>
  <si>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</si>
  <si>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</si>
  <si>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</si>
  <si>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</si>
  <si>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</si>
  <si>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</si>
  <si>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</si>
  <si>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</si>
  <si>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</si>
  <si>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</si>
  <si>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</si>
  <si>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</si>
  <si>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</si>
  <si>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</si>
  <si>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</si>
  <si>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</si>
  <si>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</si>
  <si>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</si>
  <si>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</si>
  <si>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</si>
  <si>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</si>
  <si>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</si>
  <si>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</si>
  <si>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</si>
  <si>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</si>
  <si>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</si>
  <si>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</si>
  <si>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</si>
  <si>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</si>
  <si>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</si>
  <si>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</si>
  <si>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</si>
  <si>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</si>
  <si>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</si>
  <si>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</si>
  <si>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</si>
  <si>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</si>
  <si>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</si>
  <si>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</si>
  <si>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</si>
  <si>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</si>
  <si>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</si>
  <si>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</si>
  <si>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</si>
  <si>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</si>
  <si>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</si>
  <si>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</si>
  <si>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</si>
  <si>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</si>
  <si>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</si>
  <si>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</si>
  <si>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</si>
  <si>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</si>
  <si>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</si>
  <si>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</si>
  <si>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</si>
  <si>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</si>
  <si>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</si>
  <si>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</si>
  <si>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</si>
  <si>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</si>
  <si>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</si>
  <si>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</si>
  <si>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</si>
  <si>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</si>
  <si>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</si>
  <si>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</si>
  <si>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</si>
  <si>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</si>
  <si>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</si>
  <si>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</si>
  <si>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</si>
  <si>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</si>
  <si>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</si>
  <si>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</si>
  <si>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</si>
  <si>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</si>
  <si>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</si>
  <si>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</si>
  <si>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</si>
  <si>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</si>
  <si>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</si>
  <si>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</si>
  <si>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</si>
  <si>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</si>
  <si>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</si>
  <si>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</si>
  <si>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</si>
  <si>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</si>
  <si>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</si>
  <si>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</si>
  <si>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</si>
  <si>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</si>
  <si>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</si>
  <si>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</si>
  <si>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</si>
  <si>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</si>
  <si>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</si>
  <si>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</si>
  <si>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</si>
  <si>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</si>
  <si>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</si>
  <si>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</si>
  <si>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</si>
  <si>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</si>
  <si>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</si>
  <si>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</si>
  <si>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</si>
  <si>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</si>
  <si>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</si>
  <si>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</si>
  <si>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</si>
  <si>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</si>
  <si>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</si>
  <si>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</si>
  <si>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</si>
  <si>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</si>
  <si>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</si>
  <si>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</si>
  <si>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</si>
  <si>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</si>
  <si>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</si>
  <si>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</si>
  <si>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</si>
  <si>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</si>
  <si>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</si>
  <si>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</si>
  <si>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</si>
  <si>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</si>
  <si>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</si>
  <si>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</si>
  <si>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</si>
  <si>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</si>
  <si>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</si>
  <si>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</si>
  <si>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</si>
  <si>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</si>
  <si>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</si>
  <si>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</si>
  <si>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</si>
  <si>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</si>
  <si>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</si>
  <si>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</si>
  <si>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</si>
  <si>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</si>
  <si>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</si>
  <si>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</si>
  <si>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</si>
  <si>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</si>
  <si>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</si>
  <si>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</si>
  <si>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</si>
  <si>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</si>
  <si>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</si>
  <si>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</si>
  <si>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</si>
  <si>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</si>
  <si>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</si>
  <si>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</si>
  <si>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</si>
  <si>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</si>
  <si>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</si>
  <si>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</si>
  <si>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</si>
  <si>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</si>
  <si>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</si>
  <si>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</si>
  <si>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</si>
  <si>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</si>
  <si>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</si>
  <si>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</si>
  <si>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</si>
  <si>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</si>
  <si>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</si>
  <si>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</si>
  <si>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</si>
  <si>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</si>
  <si>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</si>
  <si>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</si>
  <si>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</si>
  <si>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</si>
  <si>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</si>
  <si>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</si>
  <si>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</si>
  <si>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</si>
  <si>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</si>
  <si>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</si>
  <si>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</si>
  <si>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</si>
  <si>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</si>
  <si>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</si>
  <si>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</si>
  <si>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</si>
  <si>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</si>
  <si>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</si>
  <si>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</si>
  <si>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</si>
  <si>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</si>
  <si>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</si>
  <si>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</si>
  <si>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</si>
  <si>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</si>
  <si>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</si>
  <si>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</si>
  <si>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</si>
  <si>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</si>
  <si>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</si>
  <si>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</si>
  <si>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</si>
  <si>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</si>
  <si>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</si>
  <si>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</si>
  <si>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</si>
  <si>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</si>
  <si>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</si>
  <si>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</si>
  <si>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</si>
  <si>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</si>
  <si>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</si>
  <si>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</si>
  <si>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</si>
  <si>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</si>
  <si>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</si>
  <si>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</si>
  <si>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</si>
  <si>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</si>
  <si>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</si>
  <si>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</si>
  <si>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</si>
  <si>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</si>
  <si>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</si>
  <si>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</si>
  <si>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</si>
  <si>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</si>
  <si>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</si>
  <si>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</si>
  <si>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</si>
  <si>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</si>
  <si>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</si>
  <si>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</si>
  <si>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</si>
  <si>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</si>
  <si>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</si>
  <si>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</si>
  <si>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</si>
  <si>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</si>
  <si>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</si>
  <si>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</si>
  <si>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</si>
  <si>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</si>
  <si>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</si>
  <si>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</si>
  <si>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</si>
  <si>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</si>
  <si>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</si>
  <si>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</si>
  <si>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</si>
  <si>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</si>
  <si>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</si>
  <si>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</si>
  <si>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</si>
  <si>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</si>
  <si>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</si>
  <si>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</si>
  <si>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</si>
  <si>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</si>
  <si>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</si>
  <si>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</si>
  <si>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</si>
  <si>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</si>
  <si>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</si>
  <si>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</si>
  <si>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</si>
  <si>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</si>
  <si>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</si>
  <si>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</si>
  <si>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</si>
  <si>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</si>
  <si>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</si>
  <si>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</si>
  <si>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</si>
  <si>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</si>
  <si>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</si>
  <si>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</si>
  <si>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</si>
  <si>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</si>
  <si>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</si>
  <si>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</si>
  <si>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</si>
  <si>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</si>
  <si>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</si>
  <si>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</si>
  <si>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</si>
  <si>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</si>
  <si>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</si>
  <si>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</si>
  <si>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</si>
  <si>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</si>
  <si>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</si>
  <si>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</si>
  <si>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</si>
  <si>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</si>
  <si>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</si>
  <si>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</si>
  <si>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</si>
  <si>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</si>
  <si>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</si>
  <si>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</si>
  <si>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</si>
  <si>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</si>
  <si>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</si>
  <si>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</si>
  <si>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</si>
  <si>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</si>
  <si>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</si>
  <si>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</si>
  <si>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</si>
  <si>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</si>
  <si>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</si>
  <si>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</si>
  <si>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</si>
  <si>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</si>
  <si>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</si>
  <si>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</si>
  <si>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</si>
  <si>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</si>
  <si>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</si>
  <si>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</si>
  <si>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</si>
  <si>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</si>
  <si>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</si>
  <si>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</si>
  <si>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</si>
  <si>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</si>
  <si>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</si>
  <si>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</si>
  <si>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</si>
  <si>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</si>
  <si>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</si>
  <si>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</si>
  <si>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</si>
  <si>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</si>
  <si>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</si>
  <si>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</si>
  <si>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</si>
  <si>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</si>
  <si>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</si>
  <si>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</si>
  <si>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</si>
  <si>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</si>
  <si>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</si>
  <si>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</si>
  <si>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</si>
  <si>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</si>
  <si>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</si>
  <si>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</si>
  <si>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</si>
  <si>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</si>
  <si>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</si>
  <si>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</si>
  <si>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</si>
  <si>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</si>
  <si>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</si>
  <si>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</si>
  <si>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</si>
  <si>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</si>
  <si>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</si>
  <si>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</si>
  <si>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</si>
  <si>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</si>
  <si>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</si>
  <si>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</si>
  <si>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</si>
  <si>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</si>
  <si>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</si>
  <si>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</si>
  <si>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</si>
  <si>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</si>
  <si>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</si>
  <si>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</si>
  <si>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</si>
  <si>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</si>
  <si>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</si>
  <si>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</si>
  <si>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</si>
  <si>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</si>
  <si>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</si>
  <si>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</si>
  <si>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</si>
  <si>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</si>
  <si>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</si>
  <si>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</si>
  <si>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</si>
  <si>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</si>
  <si>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</si>
  <si>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</si>
  <si>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</si>
  <si>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</si>
  <si>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</si>
  <si>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</si>
  <si>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</si>
  <si>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</si>
  <si>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</si>
  <si>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</si>
  <si>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</si>
  <si>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</si>
  <si>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</si>
  <si>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</si>
  <si>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</si>
  <si>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</si>
  <si>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</si>
  <si>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</si>
  <si>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</si>
  <si>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</si>
  <si>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</si>
  <si>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</si>
  <si>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</si>
  <si>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</si>
  <si>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</si>
  <si>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</si>
  <si>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</si>
  <si>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</si>
  <si>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</si>
  <si>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</si>
  <si>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</si>
  <si>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</si>
  <si>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</si>
  <si>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</si>
  <si>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</si>
  <si>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</si>
  <si>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</si>
  <si>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</si>
  <si>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</si>
  <si>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</si>
  <si>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</si>
  <si>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</si>
  <si>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</si>
  <si>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</si>
  <si>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</si>
  <si>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</si>
  <si>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</si>
  <si>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</si>
  <si>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</si>
  <si>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</si>
  <si>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</si>
  <si>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</si>
  <si>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</si>
  <si>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</si>
  <si>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</si>
  <si>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</si>
  <si>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</si>
  <si>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</si>
  <si>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</si>
  <si>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</si>
  <si>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</si>
  <si>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</si>
  <si>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</si>
  <si>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</si>
  <si>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</si>
  <si>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</si>
  <si>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</si>
  <si>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</si>
  <si>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</si>
  <si>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</si>
  <si>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</si>
  <si>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</si>
  <si>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</si>
  <si>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</si>
  <si>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</si>
  <si>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</si>
  <si>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</si>
  <si>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</si>
  <si>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</si>
  <si>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</si>
  <si>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</si>
  <si>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</si>
  <si>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</si>
  <si>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</si>
  <si>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</si>
  <si>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</si>
  <si>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</si>
  <si>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</si>
  <si>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</si>
  <si>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</si>
  <si>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</si>
  <si>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</si>
  <si>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</si>
  <si>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</si>
  <si>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</si>
  <si>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</si>
  <si>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</si>
  <si>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</si>
  <si>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</si>
  <si>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</si>
  <si>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</si>
  <si>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</si>
  <si>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</si>
  <si>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</si>
  <si>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</si>
  <si>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</si>
  <si>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</si>
  <si>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</si>
  <si>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</si>
  <si>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</si>
  <si>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</si>
  <si>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</si>
  <si>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</si>
  <si>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</si>
  <si>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</si>
  <si>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</si>
  <si>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</si>
  <si>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</si>
  <si>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</si>
  <si>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</si>
  <si>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</si>
  <si>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</si>
  <si>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</si>
  <si>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</si>
  <si>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</si>
  <si>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</si>
  <si>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</si>
  <si>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</si>
  <si>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</si>
  <si>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</si>
  <si>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</si>
  <si>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</si>
  <si>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</si>
  <si>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</si>
  <si>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</si>
  <si>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</si>
  <si>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</si>
  <si>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</si>
  <si>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</si>
  <si>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</si>
  <si>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</si>
  <si>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</si>
  <si>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</si>
  <si>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</si>
  <si>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</si>
  <si>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</si>
  <si>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</si>
  <si>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</si>
  <si>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</si>
  <si>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</si>
  <si>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</si>
  <si>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</si>
  <si>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</si>
  <si>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</si>
  <si>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</si>
  <si>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</si>
  <si>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</si>
  <si>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</si>
  <si>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</si>
  <si>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</si>
  <si>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</si>
  <si>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</si>
  <si>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</si>
  <si>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</si>
  <si>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</si>
  <si>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</si>
  <si>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</si>
  <si>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</si>
  <si>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</si>
  <si>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</si>
  <si>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</si>
  <si>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</si>
  <si>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</si>
  <si>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</si>
  <si>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</si>
  <si>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</si>
  <si>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</si>
  <si>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</si>
  <si>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</si>
  <si>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</si>
  <si>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</si>
  <si>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</si>
  <si>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</si>
  <si>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</si>
  <si>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</si>
  <si>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</si>
  <si>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</si>
  <si>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</si>
  <si>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</si>
  <si>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</si>
  <si>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</si>
  <si>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</si>
  <si>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</si>
  <si>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</si>
  <si>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</si>
  <si>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</si>
  <si>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</si>
  <si>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</si>
  <si>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</si>
  <si>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</si>
  <si>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</si>
  <si>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</si>
  <si>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</si>
  <si>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</si>
  <si>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</si>
  <si>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</si>
  <si>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</si>
  <si>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</si>
  <si>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</si>
  <si>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</si>
  <si>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</si>
  <si>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</si>
  <si>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</si>
  <si>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</si>
  <si>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</si>
  <si>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</si>
  <si>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</si>
  <si>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</si>
  <si>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</si>
  <si>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</si>
  <si>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</si>
  <si>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</si>
  <si>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</si>
  <si>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</si>
  <si>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</si>
  <si>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</si>
  <si>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</si>
  <si>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</si>
  <si>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</si>
  <si>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</si>
  <si>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</si>
  <si>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</si>
  <si>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</si>
  <si>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</si>
  <si>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</si>
  <si>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</si>
  <si>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</si>
  <si>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</si>
  <si>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</si>
  <si>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</si>
  <si>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</si>
  <si>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</si>
  <si>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</si>
  <si>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</si>
  <si>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</si>
  <si>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</si>
  <si>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</si>
  <si>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</si>
  <si>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</si>
  <si>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</si>
  <si>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</si>
  <si>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</si>
  <si>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</si>
  <si>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</si>
  <si>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</si>
  <si>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</si>
  <si>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</si>
  <si>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</si>
  <si>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</si>
  <si>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</si>
  <si>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</si>
  <si>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</si>
  <si>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</si>
  <si>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</si>
  <si>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</si>
  <si>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</si>
  <si>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</si>
  <si>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</si>
  <si>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</si>
  <si>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</si>
  <si>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</si>
  <si>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</si>
  <si>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</si>
  <si>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</si>
  <si>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</si>
  <si>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</si>
  <si>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</si>
  <si>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</si>
  <si>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</si>
  <si>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</si>
  <si>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</si>
  <si>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</si>
  <si>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</si>
  <si>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</si>
  <si>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</si>
  <si>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</si>
  <si>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</si>
  <si>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</si>
  <si>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</si>
  <si>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</si>
  <si>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</si>
  <si>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</si>
  <si>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</si>
  <si>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</si>
  <si>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</si>
  <si>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</si>
  <si>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</si>
  <si>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</si>
  <si>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</si>
  <si>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</si>
  <si>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</si>
  <si>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</si>
  <si>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</si>
  <si>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</si>
  <si>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</si>
  <si>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</si>
  <si>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</si>
  <si>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</si>
  <si>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</si>
  <si>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</si>
  <si>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</si>
  <si>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</si>
  <si>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</si>
  <si>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</si>
  <si>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</si>
  <si>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</si>
  <si>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</si>
  <si>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</si>
  <si>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</si>
  <si>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</si>
  <si>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</si>
  <si>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</si>
  <si>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</si>
  <si>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</si>
  <si>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</si>
  <si>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</si>
  <si>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</si>
  <si>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</si>
  <si>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</si>
  <si>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</si>
  <si>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</si>
  <si>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</si>
  <si>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</si>
  <si>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</si>
  <si>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</si>
  <si>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</si>
  <si>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</si>
  <si>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</si>
  <si>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</si>
  <si>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</si>
  <si>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</si>
  <si>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</si>
  <si>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</si>
  <si>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</si>
  <si>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</si>
  <si>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</si>
  <si>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</si>
  <si>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</si>
  <si>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</si>
  <si>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</si>
  <si>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</si>
  <si>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</si>
  <si>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</si>
  <si>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</si>
  <si>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</si>
  <si>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</si>
  <si>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</si>
  <si>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</si>
  <si>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</si>
  <si>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</si>
  <si>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</si>
  <si>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</si>
  <si>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</si>
  <si>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</si>
  <si>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</si>
  <si>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</si>
  <si>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</si>
  <si>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</si>
  <si>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</si>
  <si>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</si>
  <si>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</si>
  <si>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</si>
  <si>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</si>
  <si>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</si>
  <si>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</si>
  <si>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</si>
  <si>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</si>
  <si>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</si>
  <si>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</si>
  <si>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</si>
  <si>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</si>
  <si>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</si>
  <si>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</si>
  <si>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</si>
  <si>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</si>
  <si>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</si>
  <si>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</si>
  <si>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</si>
  <si>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</si>
  <si>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</si>
  <si>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</si>
  <si>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</si>
  <si>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</si>
  <si>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</si>
  <si>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</si>
  <si>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</si>
  <si>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</si>
  <si>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</si>
  <si>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</si>
  <si>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</si>
  <si>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</si>
  <si>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</si>
  <si>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</si>
  <si>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</si>
  <si>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</si>
  <si>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</si>
  <si>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</si>
  <si>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</si>
  <si>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</si>
  <si>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</si>
  <si>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</si>
  <si>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</si>
  <si>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</si>
  <si>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</si>
  <si>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</si>
  <si>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</si>
  <si>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</si>
  <si>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</si>
  <si>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</si>
  <si>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</si>
  <si>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</si>
  <si>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</si>
  <si>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</si>
  <si>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</si>
  <si>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</si>
  <si>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</si>
  <si>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</si>
  <si>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</si>
  <si>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</si>
  <si>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</si>
  <si>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</si>
  <si>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</si>
  <si>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</si>
  <si>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</si>
  <si>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</si>
  <si>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</si>
  <si>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</si>
  <si>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</si>
  <si>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</si>
  <si>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</si>
  <si>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</si>
  <si>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</si>
  <si>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</si>
  <si>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</si>
  <si>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</si>
  <si>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</si>
  <si>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</si>
  <si>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</si>
  <si>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</si>
  <si>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</si>
  <si>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</si>
  <si>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</si>
  <si>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</si>
  <si>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</si>
  <si>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</si>
  <si>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</si>
  <si>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</si>
  <si>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</si>
  <si>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</si>
  <si>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</si>
  <si>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</si>
  <si>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</si>
  <si>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</si>
  <si>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</si>
  <si>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</si>
  <si>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</si>
  <si>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</si>
  <si>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</si>
  <si>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</si>
  <si>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</si>
  <si>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</si>
  <si>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</si>
  <si>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</si>
  <si>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</si>
  <si>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</si>
  <si>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</si>
  <si>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</si>
  <si>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</si>
  <si>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</si>
  <si>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</si>
  <si>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</si>
  <si>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</si>
  <si>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</si>
  <si>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</si>
  <si>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</si>
  <si>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</si>
  <si>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</si>
  <si>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</si>
  <si>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</si>
  <si>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</si>
  <si>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</si>
  <si>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</si>
  <si>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</si>
  <si>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</si>
  <si>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</si>
  <si>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</si>
  <si>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</si>
  <si>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</si>
  <si>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</si>
  <si>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</si>
  <si>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</si>
  <si>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</si>
  <si>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</si>
  <si>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</si>
  <si>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</si>
  <si>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</si>
  <si>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</si>
  <si>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</si>
  <si>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</si>
  <si>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</si>
  <si>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</si>
  <si>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</si>
  <si>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</si>
  <si>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</si>
  <si>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</si>
  <si>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</si>
  <si>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</si>
  <si>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</si>
  <si>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</si>
  <si>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</si>
  <si>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</si>
  <si>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</si>
  <si>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</si>
  <si>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</si>
  <si>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</si>
  <si>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</si>
  <si>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</si>
  <si>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</si>
  <si>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</si>
  <si>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</si>
  <si>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</si>
  <si>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</si>
  <si>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</si>
  <si>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</si>
  <si>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</si>
  <si>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</si>
  <si>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</si>
  <si>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</si>
  <si>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</si>
  <si>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</si>
  <si>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</si>
  <si>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</si>
  <si>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</si>
  <si>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</si>
  <si>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</si>
  <si>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</si>
  <si>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</si>
  <si>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</si>
  <si>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</si>
  <si>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</si>
  <si>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</si>
  <si>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</si>
  <si>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</si>
  <si>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</si>
  <si>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</si>
  <si>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</si>
  <si>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</si>
  <si>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</si>
  <si>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</si>
  <si>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</si>
  <si>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</si>
  <si>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</si>
  <si>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</si>
  <si>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</si>
  <si>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</si>
  <si>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</si>
  <si>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</si>
  <si>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</si>
  <si>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</si>
  <si>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</si>
  <si>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</si>
  <si>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</si>
  <si>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</si>
  <si>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</si>
  <si>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</si>
  <si>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</si>
  <si>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</si>
  <si>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</si>
  <si>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</si>
  <si>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</si>
  <si>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</si>
  <si>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</si>
  <si>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</si>
  <si>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</si>
  <si>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</si>
  <si>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</si>
  <si>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</si>
  <si>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</si>
  <si>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</si>
  <si>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</si>
  <si>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</si>
  <si>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</si>
  <si>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</si>
  <si>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</si>
  <si>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</si>
  <si>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</si>
  <si>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</si>
  <si>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</si>
  <si>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</si>
  <si>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</si>
  <si>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</si>
  <si>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</si>
  <si>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</si>
  <si>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</si>
  <si>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</si>
  <si>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</si>
  <si>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</si>
  <si>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</si>
  <si>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</si>
  <si>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</si>
  <si>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</si>
  <si>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</si>
  <si>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</si>
  <si>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</si>
  <si>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</si>
  <si>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</si>
  <si>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</si>
  <si>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</si>
  <si>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</si>
  <si>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</si>
  <si>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</si>
  <si>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</si>
  <si>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</si>
  <si>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</si>
  <si>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</si>
  <si>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</si>
  <si>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</si>
  <si>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</si>
  <si>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</si>
  <si>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</si>
  <si>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</si>
  <si>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</si>
  <si>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</si>
  <si>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</si>
  <si>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</si>
  <si>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</si>
  <si>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</si>
  <si>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</si>
  <si>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</si>
  <si>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</si>
  <si>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</si>
  <si>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</si>
  <si>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</si>
  <si>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</si>
  <si>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</si>
  <si>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</si>
  <si>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</si>
  <si>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</si>
  <si>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</si>
  <si>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</si>
  <si>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</si>
  <si>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</si>
  <si>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</si>
  <si>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</si>
  <si>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</si>
  <si>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</si>
  <si>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</si>
  <si>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</si>
  <si>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</si>
  <si>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</si>
  <si>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</si>
  <si>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</si>
  <si>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</si>
  <si>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</si>
  <si>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</si>
  <si>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</si>
  <si>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</si>
  <si>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</si>
  <si>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</si>
  <si>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</si>
  <si>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</si>
  <si>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</si>
  <si>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</si>
  <si>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</si>
  <si>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</si>
  <si>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</si>
  <si>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</si>
  <si>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</si>
  <si>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</si>
  <si>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</si>
  <si>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</si>
  <si>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</si>
  <si>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</si>
  <si>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</si>
  <si>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</si>
  <si>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</si>
  <si>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</si>
  <si>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</si>
  <si>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</si>
  <si>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</si>
  <si>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</si>
  <si>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</si>
  <si>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</si>
  <si>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</si>
  <si>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</si>
  <si>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</si>
  <si>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</si>
  <si>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</si>
  <si>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</si>
  <si>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</si>
  <si>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</si>
  <si>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</si>
  <si>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</si>
  <si>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</si>
  <si>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</si>
  <si>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</si>
  <si>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</si>
  <si>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</si>
  <si>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</si>
  <si>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</si>
  <si>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</si>
  <si>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</si>
  <si>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</si>
  <si>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</si>
  <si>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</si>
  <si>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</si>
  <si>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</si>
  <si>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</si>
  <si>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</si>
  <si>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</si>
  <si>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</si>
  <si>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</si>
  <si>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</si>
  <si>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</si>
  <si>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</si>
  <si>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</si>
  <si>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</si>
  <si>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</si>
  <si>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</si>
  <si>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</si>
  <si>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</si>
  <si>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</si>
  <si>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</si>
  <si>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</si>
  <si>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</si>
  <si>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</si>
  <si>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</si>
  <si>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</si>
  <si>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</si>
  <si>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</si>
  <si>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</si>
  <si>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</si>
  <si>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</si>
  <si>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</si>
  <si>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</si>
  <si>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</si>
  <si>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</si>
  <si>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</si>
  <si>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</si>
  <si>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</si>
  <si>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</si>
  <si>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</si>
  <si>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</si>
  <si>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</si>
  <si>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</si>
  <si>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</si>
  <si>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</si>
  <si>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</si>
  <si>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</si>
  <si>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</si>
  <si>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</si>
  <si>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</si>
  <si>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</si>
  <si>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</si>
  <si>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</si>
  <si>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</si>
  <si>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</si>
  <si>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</si>
  <si>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</si>
  <si>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</si>
  <si>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</si>
  <si>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</si>
  <si>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</si>
  <si>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</si>
  <si>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</si>
  <si>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</si>
  <si>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</si>
  <si>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</si>
  <si>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</si>
  <si>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</si>
  <si>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</si>
  <si>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</si>
  <si>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</si>
  <si>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</si>
  <si>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</si>
  <si>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</si>
  <si>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</si>
  <si>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</si>
  <si>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</si>
  <si>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</si>
  <si>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</si>
  <si>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</si>
  <si>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</si>
  <si>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</si>
  <si>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</si>
  <si>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</si>
  <si>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</si>
  <si>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</si>
  <si>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</si>
  <si>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</si>
  <si>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</si>
  <si>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</si>
  <si>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</si>
  <si>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</si>
  <si>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</si>
  <si>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</si>
  <si>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</si>
  <si>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</si>
  <si>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</si>
  <si>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</si>
  <si>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</si>
  <si>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</si>
  <si>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</si>
  <si>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</si>
  <si>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</si>
  <si>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</si>
  <si>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</si>
  <si>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</si>
  <si>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</si>
  <si>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</si>
  <si>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</si>
  <si>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</si>
  <si>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</si>
  <si>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</si>
  <si>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</si>
  <si>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</si>
  <si>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</si>
  <si>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</si>
  <si>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</si>
  <si>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</si>
  <si>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</si>
  <si>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</si>
  <si>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</si>
  <si>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</si>
  <si>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</si>
  <si>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</si>
  <si>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</si>
  <si>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</si>
  <si>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</si>
  <si>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</si>
  <si>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</si>
  <si>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</si>
  <si>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</si>
  <si>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</si>
  <si>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</si>
  <si>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</si>
  <si>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</si>
  <si>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</si>
  <si>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</si>
  <si>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</si>
  <si>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</si>
  <si>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</si>
  <si>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</si>
  <si>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</si>
  <si>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</si>
  <si>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</si>
  <si>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</si>
  <si>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</si>
  <si>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</si>
  <si>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</si>
  <si>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</si>
  <si>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</si>
  <si>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</si>
  <si>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</si>
  <si>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</si>
  <si>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</si>
  <si>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</si>
  <si>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</si>
  <si>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</si>
  <si>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</si>
  <si>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</si>
  <si>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</si>
  <si>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</si>
  <si>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</si>
  <si>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</si>
  <si>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</si>
  <si>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</si>
  <si>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</si>
  <si>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</si>
  <si>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</si>
  <si>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</si>
  <si>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</si>
  <si>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</si>
  <si>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</si>
  <si>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</si>
  <si>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</si>
  <si>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</si>
  <si>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</si>
  <si>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</si>
  <si>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</si>
  <si>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</si>
  <si>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</si>
  <si>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</si>
  <si>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</si>
  <si>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</si>
  <si>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</si>
  <si>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</si>
  <si>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</si>
  <si>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</si>
  <si>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</si>
  <si>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</si>
  <si>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</si>
  <si>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</si>
  <si>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</si>
  <si>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</si>
  <si>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</si>
  <si>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</si>
  <si>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</si>
  <si>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</si>
  <si>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</si>
  <si>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</si>
  <si>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</si>
  <si>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</si>
  <si>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</si>
  <si>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</si>
  <si>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</si>
  <si>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</si>
  <si>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</si>
  <si>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</si>
  <si>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</si>
  <si>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</si>
  <si>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</si>
  <si>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</si>
  <si>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</si>
  <si>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</si>
  <si>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</si>
  <si>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</si>
  <si>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</si>
  <si>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</si>
  <si>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</si>
  <si>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</si>
  <si>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</si>
  <si>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</si>
  <si>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</si>
  <si>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</si>
  <si>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</si>
  <si>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</si>
  <si>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</si>
  <si>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</si>
  <si>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</si>
  <si>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</si>
  <si>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</si>
  <si>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</si>
  <si>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</si>
  <si>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</si>
  <si>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</si>
  <si>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</si>
  <si>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</si>
  <si>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</si>
  <si>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</si>
  <si>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</si>
  <si>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</si>
  <si>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</si>
  <si>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</si>
  <si>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</si>
  <si>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</si>
  <si>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</si>
  <si>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</si>
  <si>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</si>
  <si>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</si>
  <si>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</si>
  <si>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</si>
  <si>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</si>
  <si>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</si>
  <si>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</si>
  <si>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</si>
  <si>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</si>
  <si>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</si>
  <si>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</si>
  <si>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</si>
  <si>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</si>
  <si>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</si>
  <si>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</si>
  <si>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</si>
  <si>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</si>
  <si>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</si>
  <si>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</si>
  <si>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</si>
  <si>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</si>
  <si>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</si>
  <si>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</si>
  <si>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</si>
  <si>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</si>
  <si>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</si>
  <si>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</si>
  <si>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</si>
  <si>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</si>
  <si>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</si>
  <si>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</si>
  <si>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</si>
  <si>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</si>
  <si>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</si>
  <si>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</si>
  <si>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</si>
  <si>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</si>
  <si>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</si>
  <si>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</si>
  <si>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</si>
  <si>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</si>
  <si>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</si>
  <si>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</si>
  <si>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</si>
  <si>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</si>
  <si>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</si>
  <si>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</si>
  <si>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</si>
  <si>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</si>
  <si>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</si>
  <si>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</si>
  <si>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</si>
  <si>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</si>
  <si>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</si>
  <si>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</si>
  <si>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</si>
  <si>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</si>
  <si>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</si>
  <si>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</si>
  <si>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</si>
  <si>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</si>
  <si>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</si>
  <si>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</si>
  <si>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</si>
  <si>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</si>
  <si>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</si>
  <si>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</si>
  <si>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</si>
  <si>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</si>
  <si>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</si>
  <si>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</si>
  <si>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</si>
  <si>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</si>
  <si>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</si>
  <si>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</si>
  <si>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</si>
  <si>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</si>
  <si>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</si>
  <si>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</si>
  <si>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</si>
  <si>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</si>
  <si>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</si>
  <si>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</si>
  <si>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</si>
  <si>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</si>
  <si>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</si>
  <si>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</si>
  <si>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</si>
  <si>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</si>
  <si>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</si>
  <si>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</si>
  <si>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</si>
  <si>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</si>
  <si>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</si>
  <si>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</si>
  <si>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</si>
  <si>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</si>
  <si>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</si>
  <si>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</si>
  <si>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</si>
  <si>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</si>
  <si>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</si>
  <si>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</si>
  <si>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</si>
  <si>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</si>
  <si>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</si>
  <si>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</si>
  <si>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</si>
  <si>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</si>
  <si>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</si>
  <si>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</si>
  <si>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</si>
  <si>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</si>
  <si>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</si>
  <si>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</si>
  <si>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</si>
  <si>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</si>
  <si>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</si>
  <si>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</si>
  <si>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</si>
  <si>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</si>
  <si>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</si>
  <si>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</si>
  <si>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</si>
  <si>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</si>
  <si>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</si>
  <si>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</si>
  <si>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</si>
  <si>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</si>
  <si>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</si>
  <si>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</si>
  <si>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</si>
  <si>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</si>
  <si>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</si>
  <si>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</si>
  <si>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</si>
  <si>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</si>
  <si>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</si>
  <si>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</si>
  <si>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</si>
  <si>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</si>
  <si>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</si>
  <si>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</si>
  <si>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</si>
  <si>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</si>
  <si>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</si>
  <si>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</si>
  <si>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</si>
  <si>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</si>
  <si>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</si>
  <si>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</si>
  <si>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</si>
  <si>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</si>
  <si>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</si>
  <si>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</si>
  <si>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</si>
  <si>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</si>
  <si>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</si>
  <si>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</si>
  <si>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</si>
  <si>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</si>
  <si>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</si>
  <si>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</si>
  <si>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</si>
  <si>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</si>
  <si>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</si>
  <si>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</si>
  <si>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</si>
  <si>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</si>
  <si>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</si>
  <si>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</si>
  <si>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</si>
  <si>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</si>
  <si>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</si>
  <si>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</si>
  <si>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</si>
  <si>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</si>
  <si>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</si>
  <si>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</si>
  <si>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</si>
  <si>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</si>
  <si>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</si>
  <si>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</si>
  <si>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</si>
  <si>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</si>
  <si>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</si>
  <si>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</si>
  <si>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</si>
  <si>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</si>
  <si>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</si>
  <si>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</si>
  <si>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</si>
  <si>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</si>
  <si>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</si>
  <si>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</si>
  <si>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</si>
  <si>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</si>
  <si>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</si>
  <si>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</si>
  <si>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</si>
  <si>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</si>
  <si>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</si>
  <si>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</si>
  <si>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</si>
  <si>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</si>
  <si>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</si>
  <si>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</si>
  <si>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</si>
  <si>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</si>
  <si>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</si>
  <si>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</si>
  <si>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</si>
  <si>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</si>
  <si>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</si>
  <si>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</si>
  <si>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</si>
  <si>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</si>
  <si>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</si>
  <si>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</si>
  <si>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</si>
  <si>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</si>
  <si>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</si>
  <si>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</si>
  <si>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</si>
  <si>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</si>
  <si>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</si>
  <si>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</si>
  <si>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</si>
  <si>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</si>
  <si>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</si>
  <si>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</si>
  <si>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</si>
  <si>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</si>
  <si>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</si>
  <si>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</si>
  <si>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</si>
  <si>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</si>
  <si>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</si>
  <si>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</si>
  <si>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</si>
  <si>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</si>
  <si>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</si>
  <si>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</si>
  <si>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</si>
  <si>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</si>
  <si>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</si>
  <si>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</si>
  <si>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</si>
  <si>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</si>
  <si>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</si>
  <si>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</si>
  <si>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</si>
  <si>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</si>
  <si>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</si>
  <si>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</si>
  <si>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</si>
  <si>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</si>
  <si>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</si>
  <si>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</si>
  <si>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</si>
  <si>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</si>
  <si>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</si>
  <si>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</si>
  <si>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</si>
  <si>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</si>
  <si>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</si>
  <si>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</si>
  <si>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</si>
  <si>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</si>
  <si>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</si>
  <si>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</si>
  <si>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</si>
  <si>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</si>
  <si>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</si>
  <si>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</si>
  <si>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</si>
  <si>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</si>
  <si>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</si>
  <si>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</si>
  <si>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</si>
  <si>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</si>
  <si>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</si>
  <si>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</si>
  <si>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</si>
  <si>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</si>
  <si>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</si>
  <si>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</si>
  <si>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</si>
  <si>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</si>
  <si>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</si>
  <si>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</si>
  <si>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</si>
  <si>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</si>
  <si>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</si>
  <si>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</si>
  <si>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</si>
  <si>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</si>
  <si>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</si>
  <si>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</si>
  <si>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</si>
  <si>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</si>
  <si>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</si>
  <si>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</si>
  <si>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</si>
  <si>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</si>
  <si>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</si>
  <si>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</si>
  <si>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</si>
  <si>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</si>
  <si>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</si>
  <si>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</si>
  <si>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</si>
  <si>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</si>
  <si>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</si>
  <si>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</si>
  <si>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</si>
  <si>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</si>
  <si>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</si>
  <si>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</si>
  <si>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</si>
  <si>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</si>
  <si>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</si>
  <si>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</si>
  <si>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</si>
  <si>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</si>
  <si>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</si>
  <si>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</si>
  <si>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</si>
  <si>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</si>
  <si>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</si>
  <si>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</si>
  <si>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</si>
  <si>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</si>
  <si>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</si>
  <si>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</si>
  <si>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</si>
  <si>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</si>
  <si>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</si>
  <si>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</si>
  <si>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</si>
  <si>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</si>
  <si>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</si>
  <si>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</si>
  <si>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</si>
  <si>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</si>
  <si>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</si>
  <si>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</si>
  <si>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</si>
  <si>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</si>
  <si>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</si>
  <si>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</si>
  <si>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</si>
  <si>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</si>
  <si>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</si>
  <si>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</si>
  <si>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</si>
  <si>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</si>
  <si>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</si>
  <si>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</si>
  <si>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</si>
  <si>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</si>
  <si>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</si>
  <si>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</si>
  <si>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</si>
  <si>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</si>
  <si>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</si>
  <si>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</si>
  <si>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</si>
  <si>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</si>
  <si>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</si>
  <si>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</si>
  <si>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</si>
  <si>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</si>
  <si>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</si>
  <si>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</si>
  <si>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</si>
  <si>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</si>
  <si>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</si>
  <si>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</si>
  <si>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</si>
  <si>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</si>
  <si>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</si>
  <si>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</si>
  <si>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</si>
  <si>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</si>
  <si>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</si>
  <si>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</si>
  <si>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</si>
  <si>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</si>
  <si>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</si>
  <si>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</si>
  <si>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</si>
  <si>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</si>
  <si>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</si>
  <si>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</si>
  <si>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</si>
  <si>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</si>
  <si>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</si>
  <si>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</si>
  <si>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</si>
  <si>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</si>
  <si>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</si>
  <si>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</si>
  <si>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</si>
  <si>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</si>
  <si>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</si>
  <si>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</si>
  <si>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</si>
  <si>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</si>
  <si>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</si>
  <si>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</si>
  <si>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</si>
  <si>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</si>
  <si>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</si>
  <si>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</si>
  <si>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</si>
  <si>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</si>
  <si>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</si>
  <si>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</si>
  <si>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</si>
  <si>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</si>
  <si>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</si>
  <si>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</si>
  <si>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</si>
  <si>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</si>
  <si>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</si>
  <si>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</si>
  <si>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</si>
  <si>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</si>
  <si>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</si>
  <si>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</si>
  <si>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</si>
  <si>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</si>
  <si>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</si>
  <si>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</si>
  <si>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</si>
  <si>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</si>
  <si>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</si>
  <si>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</si>
  <si>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</si>
  <si>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</si>
  <si>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</si>
  <si>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</si>
  <si>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</si>
  <si>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</si>
  <si>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</si>
  <si>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</si>
  <si>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</si>
  <si>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</si>
  <si>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</si>
  <si>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</si>
  <si>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</si>
  <si>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</si>
  <si>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</si>
  <si>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</si>
  <si>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</si>
  <si>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</si>
  <si>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</si>
  <si>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</si>
  <si>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</si>
  <si>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</si>
  <si>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</si>
  <si>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</si>
  <si>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</si>
  <si>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</si>
  <si>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</si>
  <si>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</si>
  <si>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</si>
  <si>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</si>
  <si>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</si>
  <si>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</si>
  <si>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</si>
  <si>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</si>
  <si>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</si>
  <si>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</si>
  <si>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</si>
  <si>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</si>
  <si>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</si>
  <si>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</si>
  <si>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</si>
  <si>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</si>
  <si>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</si>
  <si>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</si>
  <si>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</si>
  <si>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</si>
  <si>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</si>
  <si>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</si>
  <si>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</si>
  <si>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</si>
  <si>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</si>
  <si>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</si>
  <si>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</si>
  <si>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</si>
  <si>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</si>
  <si>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</si>
  <si>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</si>
  <si>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</si>
  <si>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</si>
  <si>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</si>
  <si>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</si>
  <si>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</si>
  <si>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</si>
  <si>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</si>
  <si>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</si>
  <si>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</si>
  <si>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</si>
  <si>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</si>
  <si>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</si>
  <si>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</si>
  <si>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</si>
  <si>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</si>
  <si>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</si>
  <si>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</si>
  <si>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</si>
  <si>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</si>
  <si>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</si>
  <si>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</si>
  <si>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</si>
  <si>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</si>
  <si>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</si>
  <si>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</si>
  <si>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</si>
  <si>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</si>
  <si>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</si>
  <si>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</si>
  <si>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</si>
  <si>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</si>
  <si>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</si>
  <si>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</si>
  <si>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</si>
  <si>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</si>
  <si>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</si>
  <si>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</si>
  <si>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</si>
  <si>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</si>
  <si>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</si>
  <si>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</si>
  <si>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</si>
  <si>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</si>
  <si>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</si>
  <si>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</si>
  <si>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</si>
  <si>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</si>
  <si>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</si>
  <si>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</si>
  <si>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</si>
  <si>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</si>
  <si>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</si>
  <si>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</si>
  <si>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</si>
  <si>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</si>
  <si>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</si>
  <si>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</si>
  <si>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</si>
  <si>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</si>
  <si>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</si>
  <si>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</si>
  <si>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</si>
  <si>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</si>
  <si>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</si>
  <si>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</si>
  <si>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</si>
  <si>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</si>
  <si>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</si>
  <si>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</si>
  <si>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</si>
  <si>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</si>
  <si>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</si>
  <si>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</si>
  <si>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</si>
  <si>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</si>
  <si>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</si>
  <si>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</si>
  <si>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</si>
  <si>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</si>
  <si>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</si>
  <si>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</si>
  <si>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</si>
  <si>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</si>
  <si>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</si>
  <si>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</si>
  <si>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</si>
  <si>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</si>
  <si>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</si>
  <si>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</si>
  <si>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</si>
  <si>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</si>
  <si>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</si>
  <si>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</si>
  <si>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</si>
  <si>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</si>
  <si>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</si>
  <si>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</si>
  <si>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</si>
  <si>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</si>
  <si>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</si>
  <si>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</si>
  <si>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</si>
  <si>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</si>
  <si>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</si>
  <si>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</si>
  <si>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</si>
  <si>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</si>
  <si>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</si>
  <si>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</si>
  <si>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</si>
  <si>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</si>
  <si>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</si>
  <si>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</si>
  <si>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</si>
  <si>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</si>
  <si>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</si>
  <si>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</si>
  <si>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</si>
  <si>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</si>
  <si>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</si>
  <si>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</si>
  <si>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</si>
  <si>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</si>
  <si>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</si>
  <si>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</si>
  <si>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</si>
  <si>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</si>
  <si>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</si>
  <si>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</si>
  <si>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</si>
  <si>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</si>
  <si>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</si>
  <si>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</si>
  <si>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</si>
  <si>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</si>
  <si>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</si>
  <si>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</si>
  <si>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</si>
  <si>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</si>
  <si>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</si>
  <si>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</si>
  <si>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</si>
  <si>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</si>
  <si>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</si>
  <si>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</si>
  <si>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</si>
  <si>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</si>
  <si>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</si>
  <si>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</si>
  <si>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</si>
  <si>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</si>
  <si>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</si>
  <si>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</si>
  <si>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</si>
  <si>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</si>
  <si>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</si>
  <si>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</si>
  <si>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</si>
  <si>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</si>
  <si>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</si>
  <si>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</si>
  <si>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</si>
  <si>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</si>
  <si>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</si>
  <si>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</si>
  <si>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</si>
  <si>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</si>
  <si>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</si>
  <si>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</si>
  <si>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</si>
  <si>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</si>
  <si>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</si>
  <si>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</si>
  <si>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</si>
  <si>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</si>
  <si>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</si>
  <si>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</si>
  <si>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</si>
  <si>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</si>
  <si>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</si>
  <si>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</si>
  <si>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</si>
  <si>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</si>
  <si>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</si>
  <si>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</si>
  <si>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</si>
  <si>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</si>
  <si>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</si>
  <si>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</si>
  <si>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</si>
  <si>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</si>
  <si>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</si>
  <si>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</si>
  <si>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</si>
  <si>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</si>
  <si>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</si>
  <si>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</si>
  <si>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</si>
  <si>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</si>
  <si>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</si>
  <si>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</si>
  <si>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</si>
  <si>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</si>
  <si>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</si>
  <si>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</si>
  <si>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</si>
  <si>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</si>
  <si>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</si>
  <si>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</si>
  <si>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</si>
  <si>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</si>
  <si>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</si>
  <si>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</si>
  <si>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</si>
  <si>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</si>
  <si>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</si>
  <si>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</si>
  <si>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</si>
  <si>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</si>
  <si>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</si>
  <si>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</si>
  <si>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</si>
  <si>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</si>
  <si>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</si>
  <si>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</si>
  <si>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</si>
  <si>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</si>
  <si>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</si>
  <si>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</si>
  <si>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</si>
  <si>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</si>
  <si>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</si>
  <si>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</si>
  <si>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</si>
  <si>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</si>
  <si>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</si>
  <si>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</si>
  <si>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</si>
  <si>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</si>
  <si>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</si>
  <si>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</si>
  <si>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</si>
  <si>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</si>
  <si>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</si>
  <si>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</si>
  <si>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</si>
  <si>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</si>
  <si>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</si>
  <si>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</si>
  <si>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</si>
  <si>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</si>
  <si>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</si>
  <si>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</si>
  <si>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</si>
  <si>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</si>
  <si>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</si>
  <si>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</si>
  <si>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</si>
  <si>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</si>
  <si>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</si>
  <si>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</si>
  <si>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</si>
  <si>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</si>
  <si>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</si>
  <si>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</si>
  <si>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</si>
  <si>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</si>
  <si>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</si>
  <si>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</si>
  <si>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</si>
  <si>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</si>
  <si>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</si>
  <si>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</si>
  <si>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</si>
  <si>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</si>
  <si>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</si>
  <si>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</si>
  <si>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</si>
  <si>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</si>
  <si>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</si>
  <si>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</si>
  <si>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</si>
  <si>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</si>
  <si>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</si>
  <si>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</si>
  <si>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</si>
  <si>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</si>
  <si>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</si>
  <si>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</si>
  <si>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</si>
  <si>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</si>
  <si>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</si>
  <si>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</si>
  <si>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</si>
  <si>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</si>
  <si>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</si>
  <si>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</si>
  <si>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</si>
  <si>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</si>
  <si>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</si>
  <si>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</si>
  <si>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</si>
  <si>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</si>
  <si>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</si>
  <si>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</si>
  <si>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</si>
  <si>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</si>
  <si>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</si>
  <si>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</si>
  <si>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</si>
  <si>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</si>
  <si>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</si>
  <si>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</si>
  <si>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</si>
  <si>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</si>
  <si>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</si>
  <si>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</si>
  <si>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</si>
  <si>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</si>
  <si>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</si>
  <si>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</si>
  <si>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</si>
  <si>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</si>
  <si>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</si>
  <si>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</si>
  <si>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</si>
  <si>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</si>
  <si>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</si>
  <si>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</si>
  <si>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</si>
  <si>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</si>
  <si>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</si>
  <si>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</si>
  <si>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</si>
  <si>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</si>
  <si>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</si>
  <si>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</si>
  <si>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</si>
  <si>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</si>
  <si>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</si>
  <si>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</si>
  <si>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</si>
  <si>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</si>
  <si>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</si>
  <si>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</si>
  <si>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</si>
  <si>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</si>
  <si>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</si>
  <si>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</si>
  <si>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</si>
  <si>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</si>
  <si>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</si>
  <si>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</si>
  <si>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</si>
  <si>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</si>
  <si>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</si>
  <si>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</si>
  <si>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</si>
  <si>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</si>
  <si>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</si>
  <si>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</si>
  <si>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</si>
  <si>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</si>
  <si>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</si>
  <si>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</si>
  <si>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</si>
  <si>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</si>
  <si>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</si>
  <si>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</si>
  <si>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</si>
  <si>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</si>
  <si>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</si>
  <si>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</si>
  <si>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</si>
  <si>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</si>
  <si>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</si>
  <si>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</si>
  <si>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</si>
  <si>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</si>
  <si>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</si>
  <si>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</si>
  <si>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</si>
  <si>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</si>
  <si>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</si>
  <si>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</si>
  <si>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</si>
  <si>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</si>
  <si>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</si>
  <si>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</si>
  <si>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</si>
  <si>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</si>
  <si>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</si>
  <si>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</si>
  <si>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</si>
  <si>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</si>
  <si>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</si>
  <si>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</si>
  <si>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</si>
  <si>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</si>
  <si>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</si>
  <si>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</si>
  <si>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</si>
  <si>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</si>
  <si>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</si>
  <si>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</si>
  <si>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</si>
  <si>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</si>
  <si>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</si>
  <si>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</si>
  <si>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</si>
  <si>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</si>
  <si>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</si>
  <si>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</si>
  <si>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</si>
  <si>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</si>
  <si>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</si>
  <si>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</si>
  <si>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</si>
  <si>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</si>
  <si>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</si>
  <si>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</si>
  <si>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</si>
  <si>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</si>
  <si>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</si>
  <si>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</si>
  <si>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</si>
  <si>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</si>
  <si>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</si>
  <si>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</si>
  <si>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</si>
  <si>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</si>
  <si>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</si>
  <si>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</si>
  <si>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</si>
  <si>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</si>
  <si>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</si>
  <si>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</si>
  <si>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</si>
  <si>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</si>
  <si>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</si>
  <si>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</si>
  <si>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</si>
  <si>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</si>
  <si>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</si>
  <si>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</si>
  <si>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</si>
  <si>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</si>
  <si>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</si>
  <si>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</si>
  <si>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</si>
  <si>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</si>
  <si>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</si>
  <si>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</si>
  <si>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</si>
  <si>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</si>
  <si>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</si>
  <si>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</si>
  <si>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</si>
  <si>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</si>
  <si>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</si>
  <si>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</si>
  <si>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</si>
  <si>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</si>
  <si>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</si>
  <si>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</si>
  <si>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</si>
  <si>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</si>
  <si>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</si>
  <si>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</si>
  <si>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</si>
  <si>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</si>
  <si>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</si>
  <si>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</si>
  <si>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</si>
  <si>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</si>
  <si>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</si>
  <si>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</si>
  <si>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</si>
  <si>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</si>
  <si>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</si>
  <si>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</si>
  <si>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</si>
  <si>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</si>
  <si>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</si>
  <si>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</si>
  <si>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</si>
  <si>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</si>
  <si>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</si>
  <si>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</si>
  <si>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</si>
  <si>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</si>
  <si>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</si>
  <si>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</si>
  <si>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</si>
  <si>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</si>
  <si>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</si>
  <si>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</si>
  <si>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</si>
  <si>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</si>
  <si>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</si>
  <si>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</si>
  <si>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</si>
  <si>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</si>
  <si>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</si>
  <si>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</si>
  <si>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</si>
  <si>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</si>
  <si>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</si>
  <si>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</si>
  <si>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</si>
  <si>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</si>
  <si>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</si>
  <si>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</si>
  <si>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</si>
  <si>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</si>
  <si>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</si>
  <si>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</si>
  <si>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</si>
  <si>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</si>
  <si>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</si>
  <si>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</si>
  <si>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</si>
  <si>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</si>
  <si>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</si>
  <si>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</si>
  <si>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</si>
  <si>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</si>
  <si>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</si>
  <si>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</si>
  <si>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</si>
  <si>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</si>
  <si>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</si>
  <si>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</si>
  <si>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</si>
  <si>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</si>
  <si>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</si>
  <si>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</si>
  <si>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</si>
  <si>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</si>
  <si>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</si>
  <si>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</si>
  <si>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</si>
  <si>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</si>
  <si>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</si>
  <si>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</si>
  <si>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</si>
  <si>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</si>
  <si>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</si>
  <si>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</si>
  <si>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</si>
  <si>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</si>
  <si>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</si>
  <si>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</si>
  <si>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</si>
  <si>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</si>
  <si>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</si>
  <si>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</si>
  <si>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</si>
  <si>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</si>
  <si>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</si>
  <si>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</si>
  <si>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</si>
  <si>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</si>
  <si>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</si>
  <si>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</si>
  <si>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</si>
  <si>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</si>
  <si>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</si>
  <si>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</si>
  <si>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</si>
  <si>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</si>
  <si>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</si>
  <si>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</si>
  <si>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</si>
  <si>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</si>
  <si>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</si>
  <si>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</si>
  <si>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</si>
  <si>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</si>
  <si>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</si>
  <si>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</si>
  <si>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</si>
  <si>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</si>
  <si>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</si>
  <si>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</si>
  <si>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</si>
  <si>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</si>
  <si>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</si>
  <si>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</si>
  <si>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</si>
  <si>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</si>
  <si>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</si>
  <si>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</si>
  <si>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</si>
  <si>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</si>
  <si>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</si>
  <si>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</si>
  <si>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</si>
  <si>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</si>
  <si>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</si>
  <si>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</si>
  <si>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</si>
  <si>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</si>
  <si>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</si>
  <si>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</si>
  <si>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</si>
  <si>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</si>
  <si>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</si>
  <si>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</si>
  <si>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</si>
  <si>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</si>
  <si>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</si>
  <si>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</si>
  <si>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</si>
  <si>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</si>
  <si>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</si>
  <si>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</si>
  <si>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</si>
  <si>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</si>
  <si>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</si>
  <si>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</si>
  <si>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</si>
  <si>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</si>
  <si>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</si>
  <si>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</si>
  <si>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</si>
  <si>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</si>
  <si>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</si>
  <si>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</si>
  <si>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</si>
  <si>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</si>
  <si>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</si>
  <si>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</si>
  <si>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</si>
  <si>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</si>
  <si>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</si>
  <si>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</si>
  <si>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</si>
  <si>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</si>
  <si>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</si>
  <si>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</si>
  <si>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</si>
  <si>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</si>
  <si>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</si>
  <si>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</si>
  <si>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</si>
  <si>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</si>
  <si>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</si>
  <si>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</si>
  <si>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</si>
  <si>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</si>
  <si>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</si>
  <si>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</si>
  <si>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</si>
  <si>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</si>
  <si>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</si>
  <si>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</si>
  <si>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</si>
  <si>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</si>
  <si>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</si>
  <si>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</si>
  <si>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</si>
  <si>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</si>
  <si>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</si>
  <si>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</si>
  <si>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</si>
  <si>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</si>
  <si>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</si>
  <si>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</si>
  <si>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</si>
  <si>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</si>
  <si>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</si>
  <si>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</si>
  <si>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</si>
  <si>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</si>
  <si>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</si>
  <si>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</si>
  <si>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</si>
  <si>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</si>
  <si>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</si>
  <si>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</si>
  <si>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</si>
  <si>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</si>
  <si>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</si>
  <si>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</si>
  <si>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</si>
  <si>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</si>
  <si>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</si>
  <si>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</si>
  <si>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</si>
  <si>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</si>
  <si>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</si>
  <si>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</si>
  <si>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</si>
  <si>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</si>
  <si>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</si>
  <si>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</si>
  <si>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</si>
  <si>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</si>
  <si>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</si>
  <si>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</si>
  <si>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</si>
  <si>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</si>
  <si>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</si>
  <si>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</si>
  <si>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</si>
  <si>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</si>
  <si>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</si>
  <si>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</si>
  <si>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</si>
  <si>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</si>
  <si>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</si>
  <si>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</si>
  <si>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</si>
  <si>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</si>
  <si>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</si>
  <si>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</si>
  <si>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</si>
  <si>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</si>
  <si>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</si>
  <si>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</si>
  <si>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</si>
  <si>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</si>
  <si>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</si>
  <si>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</si>
  <si>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</si>
  <si>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</si>
  <si>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</si>
  <si>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</si>
  <si>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</si>
  <si>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</si>
  <si>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</si>
  <si>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</si>
  <si>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</si>
  <si>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</si>
  <si>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</si>
  <si>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</si>
  <si>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</si>
  <si>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</si>
  <si>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</si>
  <si>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</si>
  <si>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</si>
  <si>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</si>
  <si>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</si>
  <si>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</si>
  <si>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</si>
  <si>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</si>
  <si>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</si>
  <si>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</si>
  <si>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</si>
  <si>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</si>
  <si>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</si>
  <si>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</si>
  <si>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</si>
  <si>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</si>
  <si>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</si>
  <si>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</si>
  <si>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</si>
  <si>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</si>
  <si>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</si>
  <si>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</si>
  <si>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</si>
  <si>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</si>
  <si>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</si>
  <si>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</si>
  <si>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</si>
  <si>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</si>
  <si>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</si>
  <si>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</si>
  <si>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</si>
  <si>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</si>
  <si>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</si>
  <si>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</si>
  <si>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</si>
  <si>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</si>
  <si>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</si>
  <si>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</si>
  <si>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</si>
  <si>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</si>
  <si>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</si>
  <si>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</si>
  <si>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</si>
  <si>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</si>
  <si>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</si>
  <si>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</si>
  <si>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</si>
  <si>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</si>
  <si>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</si>
  <si>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</si>
  <si>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</si>
  <si>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</si>
  <si>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</si>
  <si>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</si>
  <si>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</si>
  <si>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</si>
  <si>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</si>
  <si>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</si>
  <si>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</si>
  <si>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</si>
  <si>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</si>
  <si>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</si>
  <si>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</si>
  <si>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</si>
  <si>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</si>
  <si>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</si>
  <si>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</si>
  <si>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</si>
  <si>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</si>
  <si>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</si>
  <si>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</si>
  <si>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</si>
  <si>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</si>
  <si>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</si>
  <si>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</si>
  <si>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</si>
  <si>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</si>
  <si>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</si>
  <si>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</si>
  <si>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</si>
  <si>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</si>
  <si>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</si>
  <si>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</si>
  <si>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</si>
  <si>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</si>
  <si>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</si>
  <si>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</si>
  <si>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</si>
  <si>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</si>
  <si>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</si>
  <si>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</si>
  <si>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</si>
  <si>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</si>
  <si>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</si>
  <si>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</si>
  <si>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</si>
  <si>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</si>
  <si>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</si>
  <si>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</si>
  <si>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</si>
  <si>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</si>
  <si>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</si>
  <si>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</si>
  <si>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</si>
  <si>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</si>
  <si>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</si>
  <si>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</si>
  <si>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</si>
  <si>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</si>
  <si>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</si>
  <si>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</si>
  <si>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</si>
  <si>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</si>
  <si>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</si>
  <si>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</si>
  <si>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</si>
  <si>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</si>
  <si>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</si>
  <si>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</si>
  <si>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</si>
  <si>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</si>
  <si>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</si>
  <si>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</si>
  <si>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</si>
  <si>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</si>
  <si>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</si>
  <si>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</si>
  <si>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</si>
  <si>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</si>
  <si>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</si>
  <si>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</si>
  <si>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</si>
  <si>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</si>
  <si>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</si>
  <si>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</si>
  <si>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</si>
  <si>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</si>
  <si>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</si>
  <si>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</si>
  <si>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</si>
  <si>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</si>
  <si>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</si>
  <si>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</si>
  <si>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</si>
  <si>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</si>
  <si>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</si>
  <si>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</si>
  <si>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</si>
  <si>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</si>
  <si>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</si>
  <si>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</si>
  <si>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</si>
  <si>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</si>
  <si>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</si>
  <si>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</si>
  <si>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</si>
  <si>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</si>
  <si>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</si>
  <si>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</si>
  <si>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</si>
  <si>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</si>
  <si>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</si>
  <si>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</si>
  <si>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</si>
  <si>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</si>
  <si>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</si>
  <si>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</si>
  <si>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</si>
  <si>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</si>
  <si>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</si>
  <si>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</si>
  <si>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</si>
  <si>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</si>
  <si>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</si>
  <si>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</si>
  <si>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</si>
  <si>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</si>
  <si>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</si>
  <si>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</si>
  <si>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</si>
  <si>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</si>
  <si>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</si>
  <si>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</si>
  <si>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</si>
  <si>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</si>
  <si>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</si>
  <si>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</si>
  <si>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</si>
  <si>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</si>
  <si>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</si>
  <si>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</si>
  <si>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</si>
  <si>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</si>
  <si>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</si>
  <si>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</si>
  <si>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</si>
  <si>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</si>
  <si>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</si>
  <si>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</si>
  <si>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</si>
  <si>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</si>
  <si>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</si>
  <si>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</si>
  <si>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</si>
  <si>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</si>
  <si>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</si>
  <si>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</si>
  <si>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</si>
  <si>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</si>
  <si>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</si>
  <si>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</si>
  <si>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</si>
  <si>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</si>
  <si>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</si>
  <si>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</si>
  <si>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</si>
  <si>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</si>
  <si>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</si>
  <si>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</si>
  <si>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</si>
  <si>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</si>
  <si>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</si>
  <si>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</si>
  <si>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</si>
  <si>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</si>
  <si>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</si>
  <si>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</si>
  <si>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</si>
  <si>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</si>
  <si>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</si>
  <si>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</si>
  <si>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</si>
  <si>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</si>
  <si>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</si>
  <si>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</si>
  <si>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</si>
  <si>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</si>
  <si>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</si>
  <si>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</si>
  <si>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</si>
  <si>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</si>
  <si>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</si>
  <si>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</si>
  <si>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</si>
  <si>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</si>
  <si>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</si>
  <si>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</si>
  <si>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</si>
  <si>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</si>
  <si>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</si>
  <si>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</si>
  <si>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</si>
  <si>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</si>
  <si>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</si>
  <si>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</si>
  <si>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</si>
  <si>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</si>
  <si>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</si>
  <si>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</si>
  <si>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</si>
  <si>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</si>
  <si>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</si>
  <si>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</si>
  <si>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</si>
  <si>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</si>
  <si>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</si>
  <si>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</si>
  <si>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</si>
  <si>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</si>
  <si>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</si>
  <si>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</si>
  <si>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</si>
  <si>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</si>
  <si>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</si>
  <si>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</si>
  <si>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</si>
  <si>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</si>
  <si>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</si>
  <si>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</si>
  <si>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</si>
  <si>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</si>
  <si>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</si>
  <si>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</si>
  <si>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</si>
  <si>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</si>
  <si>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</si>
  <si>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</si>
  <si>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</si>
  <si>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</si>
  <si>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</si>
  <si>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</si>
  <si>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</si>
  <si>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</si>
  <si>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</si>
  <si>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</si>
  <si>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</si>
  <si>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</si>
  <si>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</si>
  <si>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</si>
  <si>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</si>
  <si>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</si>
  <si>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</si>
  <si>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</si>
  <si>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</si>
  <si>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</si>
  <si>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</si>
  <si>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</si>
  <si>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</si>
  <si>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</si>
  <si>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</si>
  <si>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</si>
  <si>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</si>
  <si>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</si>
  <si>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</si>
  <si>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</si>
  <si>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</si>
  <si>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</si>
  <si>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</si>
  <si>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</si>
  <si>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</si>
  <si>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</si>
  <si>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</si>
  <si>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</si>
  <si>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</si>
  <si>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</si>
  <si>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</si>
  <si>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</si>
  <si>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</si>
  <si>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</si>
  <si>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</si>
  <si>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</si>
  <si>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</si>
  <si>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</si>
  <si>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</si>
  <si>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</si>
  <si>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</si>
  <si>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</si>
  <si>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</si>
  <si>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</si>
  <si>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</si>
  <si>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</si>
  <si>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</si>
  <si>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</si>
  <si>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</si>
  <si>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</si>
  <si>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</si>
  <si>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</si>
  <si>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</si>
  <si>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</si>
  <si>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</si>
  <si>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</si>
  <si>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</si>
  <si>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</si>
  <si>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</si>
  <si>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</si>
  <si>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</si>
  <si>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</si>
  <si>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</si>
  <si>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</si>
  <si>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</si>
  <si>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</si>
  <si>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</si>
  <si>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</si>
  <si>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</si>
  <si>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</si>
  <si>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</si>
  <si>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</si>
  <si>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</si>
  <si>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</si>
  <si>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</si>
  <si>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</si>
  <si>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</si>
  <si>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</si>
  <si>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</si>
  <si>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</si>
  <si>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</si>
  <si>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</si>
  <si>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</si>
  <si>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</si>
  <si>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</si>
  <si>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</si>
  <si>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</si>
  <si>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</si>
  <si>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</si>
  <si>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</si>
  <si>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</si>
  <si>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</si>
  <si>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</si>
  <si>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</si>
  <si>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</si>
  <si>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</si>
  <si>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</si>
  <si>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</si>
  <si>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</si>
  <si>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</si>
  <si>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</si>
  <si>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</si>
  <si>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</si>
  <si>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</si>
  <si>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</si>
  <si>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</si>
  <si>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</si>
  <si>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</si>
  <si>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</si>
  <si>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</si>
  <si>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</si>
  <si>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</si>
  <si>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</si>
  <si>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</si>
  <si>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</si>
  <si>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</si>
  <si>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</si>
  <si>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</si>
  <si>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</si>
  <si>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</si>
  <si>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</si>
  <si>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</si>
  <si>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</si>
  <si>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</si>
  <si>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</si>
  <si>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</si>
  <si>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</si>
  <si>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</si>
  <si>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</si>
  <si>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</si>
  <si>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</si>
  <si>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</si>
  <si>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</si>
  <si>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</si>
  <si>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</si>
  <si>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</si>
  <si>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</si>
  <si>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</si>
  <si>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</si>
  <si>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</si>
  <si>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</si>
  <si>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</si>
  <si>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</si>
  <si>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</si>
  <si>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</si>
  <si>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</si>
  <si>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</si>
  <si>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</si>
  <si>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</si>
  <si>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</si>
  <si>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</si>
  <si>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</si>
  <si>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</si>
  <si>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</si>
  <si>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</si>
  <si>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</si>
  <si>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</si>
  <si>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</si>
  <si>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</si>
  <si>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</si>
  <si>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</si>
  <si>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</si>
  <si>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</si>
  <si>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</si>
  <si>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</si>
  <si>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</si>
  <si>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</si>
  <si>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</si>
  <si>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</si>
  <si>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</si>
  <si>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</si>
  <si>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</si>
  <si>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</si>
  <si>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</si>
  <si>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</si>
  <si>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</si>
  <si>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</si>
  <si>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</si>
  <si>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</si>
  <si>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</si>
  <si>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</si>
  <si>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</si>
  <si>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</si>
  <si>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</si>
  <si>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</si>
  <si>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</si>
  <si>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</si>
  <si>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</si>
  <si>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</si>
  <si>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</si>
  <si>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</si>
  <si>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</si>
  <si>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</si>
  <si>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</si>
  <si>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</si>
  <si>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</si>
  <si>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</si>
  <si>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</si>
  <si>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</si>
  <si>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</si>
  <si>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</si>
  <si>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</si>
  <si>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</si>
  <si>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</si>
  <si>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</si>
  <si>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</si>
  <si>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</si>
  <si>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</si>
  <si>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</si>
  <si>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</si>
  <si>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</si>
  <si>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</si>
  <si>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</si>
  <si>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</si>
  <si>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</si>
  <si>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</si>
  <si>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</si>
  <si>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</si>
  <si>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</si>
  <si>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</si>
  <si>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</si>
  <si>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</si>
  <si>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</si>
  <si>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</si>
  <si>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</si>
  <si>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</si>
  <si>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</si>
  <si>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</si>
  <si>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</si>
  <si>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</si>
  <si>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</si>
  <si>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</si>
  <si>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</si>
  <si>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</si>
  <si>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</si>
  <si>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</si>
  <si>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</si>
  <si>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</si>
  <si>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</si>
  <si>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</si>
  <si>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</si>
  <si>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</si>
  <si>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</si>
  <si>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</si>
  <si>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</si>
  <si>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</si>
  <si>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</si>
  <si>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</si>
  <si>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</si>
  <si>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</si>
  <si>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</si>
  <si>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</si>
  <si>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</si>
  <si>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</si>
  <si>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</si>
  <si>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</si>
  <si>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</si>
  <si>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</si>
  <si>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</si>
  <si>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</si>
  <si>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</si>
  <si>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</si>
  <si>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</si>
  <si>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</si>
  <si>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</si>
  <si>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</si>
  <si>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</si>
  <si>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</si>
  <si>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</si>
  <si>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</si>
  <si>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</si>
  <si>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</si>
  <si>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</si>
  <si>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</si>
  <si>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</si>
  <si>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</si>
  <si>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</si>
  <si>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</si>
  <si>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</si>
  <si>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</si>
  <si>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</si>
  <si>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</si>
  <si>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</si>
  <si>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</si>
  <si>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</si>
  <si>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</si>
  <si>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</si>
  <si>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</si>
  <si>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</si>
  <si>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</si>
  <si>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</si>
  <si>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</si>
  <si>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</si>
  <si>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</si>
  <si>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</si>
  <si>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</si>
  <si>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</si>
  <si>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</si>
  <si>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</si>
  <si>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</si>
  <si>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</si>
  <si>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</si>
  <si>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</si>
  <si>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</si>
  <si>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</si>
  <si>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</si>
  <si>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</si>
  <si>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</si>
  <si>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</si>
  <si>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</si>
  <si>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</si>
  <si>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</si>
  <si>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</si>
  <si>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</si>
  <si>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</si>
  <si>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</si>
  <si>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</si>
  <si>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</si>
  <si>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</si>
  <si>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</si>
  <si>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</si>
  <si>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</si>
  <si>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</si>
  <si>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</si>
  <si>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</si>
  <si>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</si>
  <si>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</si>
  <si>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</si>
  <si>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</si>
  <si>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</si>
  <si>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</si>
  <si>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</si>
  <si>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</si>
  <si>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</si>
  <si>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</si>
  <si>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</si>
  <si>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</si>
  <si>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</si>
  <si>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</si>
  <si>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</si>
  <si>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</si>
  <si>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</si>
  <si>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</si>
  <si>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</si>
  <si>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</si>
  <si>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</si>
  <si>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</si>
  <si>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</si>
  <si>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</si>
  <si>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</si>
  <si>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</si>
  <si>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</si>
  <si>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</si>
  <si>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</si>
  <si>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</si>
  <si>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</si>
  <si>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</si>
  <si>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</si>
  <si>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</si>
  <si>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</si>
  <si>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</si>
  <si>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</si>
  <si>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</si>
  <si>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</si>
  <si>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</si>
  <si>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</si>
  <si>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</si>
  <si>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</si>
  <si>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</si>
  <si>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</si>
  <si>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</si>
  <si>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</si>
  <si>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</si>
  <si>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</si>
  <si>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</si>
  <si>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</si>
  <si>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</si>
  <si>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</si>
  <si>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</si>
  <si>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</si>
  <si>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</si>
  <si>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</si>
  <si>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</si>
  <si>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</si>
  <si>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</si>
  <si>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</si>
  <si>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</si>
  <si>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</si>
  <si>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</si>
  <si>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</si>
  <si>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</si>
  <si>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</si>
  <si>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</si>
  <si>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</si>
  <si>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</si>
  <si>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</si>
  <si>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</si>
  <si>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</si>
  <si>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</si>
  <si>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</si>
  <si>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</si>
  <si>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</si>
  <si>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</si>
  <si>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</si>
  <si>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</si>
  <si>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</si>
  <si>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</si>
  <si>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</si>
  <si>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</si>
  <si>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</si>
  <si>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</si>
  <si>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</si>
  <si>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</si>
  <si>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</si>
  <si>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</si>
  <si>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</si>
  <si>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</si>
  <si>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</si>
  <si>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</si>
  <si>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</si>
  <si>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</si>
  <si>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</si>
  <si>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</si>
  <si>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</si>
  <si>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</si>
  <si>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</si>
  <si>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</si>
  <si>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</si>
  <si>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</si>
  <si>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</si>
  <si>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</si>
  <si>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</si>
  <si>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</si>
  <si>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</si>
  <si>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</si>
  <si>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</si>
  <si>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</si>
  <si>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</si>
  <si>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</si>
  <si>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</si>
  <si>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</si>
  <si>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</si>
  <si>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</si>
  <si>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</si>
  <si>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</si>
  <si>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</si>
  <si>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</si>
  <si>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</si>
  <si>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</si>
  <si>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</si>
  <si>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</si>
  <si>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</si>
  <si>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</si>
  <si>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</si>
  <si>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</si>
  <si>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</si>
  <si>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</si>
  <si>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</si>
  <si>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</si>
  <si>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</si>
  <si>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</si>
  <si>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</si>
  <si>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</si>
  <si>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</si>
  <si>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</si>
  <si>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</si>
  <si>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</si>
  <si>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</si>
  <si>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</si>
  <si>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</si>
  <si>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</si>
  <si>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</si>
  <si>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</si>
  <si>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</si>
  <si>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</si>
  <si>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</si>
  <si>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</si>
  <si>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</si>
  <si>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</si>
  <si>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</si>
  <si>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</si>
  <si>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</si>
  <si>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</si>
  <si>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</si>
  <si>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</si>
  <si>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</si>
  <si>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</si>
  <si>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</si>
  <si>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</si>
  <si>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</si>
  <si>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</si>
  <si>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</si>
  <si>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</si>
  <si>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</si>
  <si>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</si>
  <si>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</si>
  <si>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</si>
  <si>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</si>
  <si>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</si>
  <si>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</si>
  <si>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</si>
  <si>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</si>
  <si>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</si>
  <si>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</si>
  <si>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</si>
  <si>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</si>
  <si>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</si>
  <si>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</si>
  <si>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</si>
  <si>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</si>
  <si>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</si>
  <si>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</si>
  <si>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</si>
  <si>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</si>
  <si>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</si>
  <si>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</si>
  <si>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</si>
  <si>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</si>
  <si>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</si>
  <si>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</si>
  <si>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</si>
  <si>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</si>
  <si>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</si>
  <si>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</si>
  <si>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</si>
  <si>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</si>
  <si>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</si>
  <si>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</si>
  <si>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</si>
  <si>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</si>
  <si>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</si>
  <si>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</si>
  <si>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</si>
  <si>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</si>
  <si>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</si>
  <si>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</si>
  <si>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</si>
  <si>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</si>
  <si>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</si>
  <si>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</si>
  <si>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</si>
  <si>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</si>
  <si>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</si>
  <si>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</si>
  <si>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</si>
  <si>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</si>
  <si>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</si>
  <si>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</si>
  <si>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</si>
  <si>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</si>
  <si>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</si>
  <si>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</si>
  <si>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</si>
  <si>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</si>
  <si>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</si>
  <si>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</si>
  <si>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</si>
  <si>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</si>
  <si>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</si>
  <si>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</si>
  <si>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</si>
  <si>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</si>
  <si>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</si>
  <si>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</si>
  <si>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</si>
  <si>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</si>
  <si>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</si>
  <si>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</si>
  <si>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</si>
  <si>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</si>
  <si>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</si>
  <si>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</si>
  <si>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</si>
  <si>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</si>
  <si>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</si>
  <si>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</si>
  <si>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</si>
  <si>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</si>
  <si>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</si>
  <si>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</si>
  <si>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</si>
  <si>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</si>
  <si>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</si>
  <si>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</si>
  <si>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</si>
  <si>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</si>
  <si>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</si>
  <si>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</si>
  <si>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</si>
  <si>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</si>
  <si>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</si>
  <si>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</si>
  <si>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</si>
  <si>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</si>
  <si>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</si>
  <si>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</si>
  <si>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</si>
  <si>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</si>
  <si>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</si>
  <si>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</si>
  <si>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</si>
  <si>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</si>
  <si>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</si>
  <si>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</si>
  <si>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</si>
  <si>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</si>
  <si>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</si>
  <si>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</si>
  <si>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</si>
  <si>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</si>
  <si>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</si>
  <si>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</si>
  <si>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</si>
  <si>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</si>
  <si>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</si>
  <si>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</si>
  <si>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</si>
  <si>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</si>
  <si>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</si>
  <si>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</si>
  <si>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</si>
  <si>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</si>
  <si>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</si>
  <si>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</si>
  <si>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</si>
  <si>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</si>
  <si>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</si>
  <si>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</si>
  <si>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</si>
  <si>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</si>
  <si>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</si>
  <si>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</si>
  <si>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</si>
  <si>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</si>
  <si>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</si>
  <si>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</si>
  <si>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</si>
  <si>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</si>
  <si>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</si>
  <si>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</si>
  <si>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</si>
  <si>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</si>
  <si>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</si>
  <si>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</si>
  <si>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</si>
  <si>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</si>
  <si>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</si>
  <si>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</si>
  <si>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</si>
  <si>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</si>
  <si>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</si>
  <si>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</si>
  <si>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</si>
  <si>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</si>
  <si>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</si>
  <si>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</si>
  <si>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</si>
  <si>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</si>
  <si>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</si>
  <si>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</si>
  <si>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</si>
  <si>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</si>
  <si>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</si>
  <si>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</si>
  <si>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</si>
  <si>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</si>
  <si>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</si>
  <si>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</si>
  <si>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</si>
  <si>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</si>
  <si>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</si>
  <si>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</si>
  <si>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</si>
  <si>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</si>
  <si>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</si>
  <si>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</si>
  <si>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</si>
  <si>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</si>
  <si>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</si>
  <si>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</si>
  <si>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</si>
  <si>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</si>
  <si>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</si>
  <si>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</si>
  <si>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</si>
  <si>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</si>
  <si>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</si>
  <si>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</si>
  <si>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</si>
  <si>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</si>
  <si>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</si>
  <si>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</si>
  <si>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</si>
  <si>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</si>
  <si>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</si>
  <si>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</si>
  <si>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</si>
  <si>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</si>
  <si>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</si>
  <si>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</si>
  <si>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</si>
  <si>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</si>
  <si>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</si>
  <si>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</si>
  <si>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</si>
  <si>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</si>
  <si>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</si>
  <si>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</si>
  <si>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</si>
  <si>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</si>
  <si>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</si>
  <si>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</si>
  <si>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</si>
  <si>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</si>
  <si>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</si>
  <si>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</si>
  <si>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</si>
  <si>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</si>
  <si>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</si>
  <si>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</si>
  <si>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</si>
  <si>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</si>
  <si>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</si>
  <si>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</si>
  <si>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</si>
  <si>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</si>
  <si>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</si>
  <si>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</si>
  <si>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</si>
  <si>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</si>
  <si>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</si>
  <si>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</si>
  <si>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</si>
  <si>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</si>
  <si>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</si>
  <si>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</si>
  <si>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</si>
  <si>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</si>
  <si>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</si>
  <si>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</si>
  <si>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</si>
  <si>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</si>
  <si>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</si>
  <si>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</si>
  <si>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</si>
  <si>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</si>
  <si>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</si>
  <si>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</si>
  <si>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</si>
  <si>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</si>
  <si>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</si>
  <si>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</si>
  <si>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</si>
  <si>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</si>
  <si>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</si>
  <si>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</si>
  <si>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</si>
  <si>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</si>
  <si>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</si>
  <si>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</si>
  <si>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</si>
  <si>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</si>
  <si>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</si>
  <si>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</si>
  <si>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</si>
  <si>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</si>
  <si>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</si>
  <si>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</si>
  <si>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</si>
  <si>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</si>
  <si>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</si>
  <si>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</si>
  <si>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</si>
  <si>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</si>
  <si>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</si>
  <si>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</si>
  <si>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</si>
  <si>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</si>
  <si>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</si>
  <si>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</si>
  <si>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</si>
  <si>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</si>
  <si>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</si>
  <si>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</si>
  <si>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</si>
  <si>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</si>
  <si>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</si>
  <si>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</si>
  <si>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</si>
  <si>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</si>
  <si>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</si>
  <si>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</si>
  <si>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</si>
  <si>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</si>
  <si>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</si>
  <si>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</si>
  <si>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</si>
  <si>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</si>
  <si>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</si>
  <si>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</si>
  <si>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</si>
  <si>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</si>
  <si>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</si>
  <si>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</si>
  <si>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</si>
  <si>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</si>
  <si>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</si>
  <si>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</si>
  <si>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</si>
  <si>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</si>
  <si>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</si>
  <si>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</si>
  <si>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</si>
  <si>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</si>
  <si>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</si>
  <si>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</si>
  <si>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</si>
  <si>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</si>
  <si>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</si>
  <si>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</si>
  <si>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</si>
  <si>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</si>
  <si>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</si>
  <si>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</si>
  <si>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</si>
  <si>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</si>
  <si>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</si>
  <si>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</si>
  <si>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</si>
  <si>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</si>
  <si>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</si>
  <si>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</si>
  <si>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</si>
  <si>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</si>
  <si>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</si>
  <si>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</si>
  <si>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</si>
  <si>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</si>
  <si>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</si>
  <si>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</si>
  <si>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</si>
  <si>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</si>
  <si>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</si>
  <si>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</si>
  <si>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</si>
  <si>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</si>
  <si>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</si>
  <si>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</si>
  <si>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</si>
  <si>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</si>
  <si>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</si>
  <si>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</si>
  <si>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</si>
  <si>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</si>
  <si>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</si>
  <si>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</si>
  <si>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</si>
  <si>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</si>
  <si>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</si>
  <si>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</si>
  <si>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</si>
  <si>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</si>
  <si>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</si>
  <si>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</si>
  <si>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</si>
  <si>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</si>
  <si>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</si>
  <si>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</si>
  <si>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</si>
  <si>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</si>
  <si>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</si>
  <si>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</si>
  <si>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</si>
  <si>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</si>
  <si>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</si>
  <si>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</si>
  <si>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</si>
  <si>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</si>
  <si>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</si>
  <si>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</si>
  <si>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</si>
  <si>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</si>
  <si>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</si>
  <si>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</si>
  <si>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</si>
  <si>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</si>
  <si>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</si>
  <si>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</si>
  <si>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</si>
  <si>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</si>
  <si>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</si>
  <si>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</si>
  <si>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</si>
  <si>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</si>
  <si>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</si>
  <si>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</si>
  <si>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</si>
  <si>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</si>
  <si>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</si>
  <si>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</si>
  <si>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</si>
  <si>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</si>
  <si>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</si>
  <si>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</si>
  <si>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</si>
  <si>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</si>
  <si>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</si>
  <si>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</si>
  <si>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</si>
  <si>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</si>
  <si>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</si>
  <si>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</si>
  <si>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</si>
  <si>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</si>
  <si>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</si>
  <si>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</si>
  <si>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</si>
  <si>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</si>
  <si>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</si>
  <si>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</si>
  <si>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</si>
  <si>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</si>
  <si>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</si>
  <si>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</si>
  <si>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</si>
  <si>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</si>
  <si>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</si>
  <si>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</si>
  <si>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</si>
  <si>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</si>
  <si>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</si>
  <si>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</si>
  <si>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</si>
  <si>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</si>
  <si>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</si>
  <si>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</si>
  <si>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</si>
  <si>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</si>
  <si>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</si>
  <si>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</si>
  <si>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</si>
  <si>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</si>
  <si>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</si>
  <si>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</si>
  <si>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</si>
  <si>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</si>
  <si>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</si>
  <si>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</si>
  <si>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</si>
  <si>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</si>
  <si>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</si>
  <si>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</si>
  <si>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</si>
  <si>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</si>
  <si>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</si>
  <si>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</si>
  <si>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</si>
  <si>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</si>
  <si>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</si>
  <si>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</si>
  <si>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</si>
  <si>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</si>
  <si>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</si>
  <si>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</si>
  <si>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</si>
  <si>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</si>
  <si>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</si>
  <si>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</si>
  <si>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</si>
  <si>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</si>
  <si>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</si>
  <si>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</si>
  <si>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</si>
  <si>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</si>
  <si>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</si>
  <si>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</si>
  <si>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</si>
  <si>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</si>
  <si>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</si>
  <si>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</si>
  <si>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</si>
  <si>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</si>
  <si>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</si>
  <si>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</si>
  <si>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</si>
  <si>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</si>
  <si>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</si>
  <si>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</si>
  <si>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</si>
  <si>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</si>
  <si>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</si>
  <si>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</si>
  <si>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</si>
  <si>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</si>
  <si>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</si>
  <si>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</si>
  <si>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</si>
  <si>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</si>
  <si>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</si>
  <si>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</si>
  <si>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</si>
  <si>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</si>
  <si>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</si>
  <si>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</si>
  <si>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</si>
  <si>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</si>
  <si>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</si>
  <si>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</si>
  <si>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</si>
  <si>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</si>
  <si>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</si>
  <si>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</si>
  <si>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</si>
  <si>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</si>
  <si>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</si>
  <si>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</si>
  <si>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</si>
  <si>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</si>
  <si>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</si>
  <si>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</si>
  <si>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</si>
  <si>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</si>
  <si>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</si>
  <si>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</si>
  <si>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</si>
  <si>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</si>
  <si>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</si>
  <si>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</si>
  <si>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</si>
  <si>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</si>
  <si>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</si>
  <si>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</si>
  <si>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</si>
  <si>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</si>
  <si>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</si>
  <si>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</si>
  <si>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</si>
  <si>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</si>
  <si>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</si>
  <si>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</si>
  <si>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</si>
  <si>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</si>
  <si>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</si>
  <si>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</si>
  <si>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</si>
  <si>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</si>
  <si>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</si>
  <si>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</si>
  <si>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</si>
  <si>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</si>
  <si>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</si>
  <si>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</si>
  <si>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</si>
  <si>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</si>
  <si>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</si>
  <si>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</si>
  <si>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</si>
  <si>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</si>
  <si>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</si>
  <si>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</si>
  <si>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</si>
  <si>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</si>
  <si>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</si>
  <si>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</si>
  <si>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</si>
  <si>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</si>
  <si>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</si>
  <si>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</si>
  <si>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</si>
  <si>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</si>
  <si>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</si>
  <si>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</si>
  <si>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</si>
  <si>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</si>
  <si>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</si>
  <si>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</si>
  <si>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</si>
  <si>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</si>
  <si>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</si>
  <si>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</si>
  <si>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</si>
  <si>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</si>
  <si>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</si>
  <si>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</si>
  <si>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</si>
  <si>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</si>
  <si>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</si>
  <si>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</si>
  <si>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</si>
  <si>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</si>
  <si>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</si>
  <si>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</si>
  <si>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</si>
  <si>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</si>
  <si>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</si>
  <si>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</si>
  <si>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</si>
  <si>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</si>
  <si>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</si>
  <si>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</si>
  <si>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</si>
  <si>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</si>
  <si>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</si>
  <si>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</si>
  <si>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</si>
  <si>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</si>
  <si>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</si>
  <si>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</si>
  <si>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</si>
  <si>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</si>
  <si>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</si>
  <si>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</si>
  <si>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</si>
  <si>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</si>
  <si>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</si>
  <si>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</si>
  <si>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</si>
  <si>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</si>
  <si>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</si>
  <si>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</si>
  <si>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</si>
  <si>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</si>
  <si>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</si>
  <si>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</si>
  <si>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</si>
  <si>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</si>
  <si>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</si>
  <si>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</si>
  <si>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</si>
  <si>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</si>
  <si>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</si>
  <si>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</si>
  <si>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</si>
  <si>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</si>
  <si>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</si>
  <si>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</si>
  <si>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</si>
  <si>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</si>
  <si>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</si>
  <si>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</si>
  <si>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</si>
  <si>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</si>
  <si>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</si>
  <si>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</si>
  <si>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</si>
  <si>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</si>
  <si>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</si>
  <si>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</si>
  <si>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</si>
  <si>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</si>
  <si>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</si>
  <si>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</si>
  <si>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</si>
  <si>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</si>
  <si>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</si>
  <si>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</si>
  <si>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</si>
  <si>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</si>
  <si>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</si>
  <si>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</si>
  <si>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</si>
  <si>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</si>
  <si>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</si>
  <si>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</si>
  <si>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</si>
  <si>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</si>
  <si>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</si>
  <si>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</si>
  <si>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</si>
  <si>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</si>
  <si>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</si>
  <si>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</si>
  <si>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</si>
  <si>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</si>
  <si>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</si>
  <si>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</si>
  <si>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</si>
  <si>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</si>
  <si>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</si>
  <si>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</si>
  <si>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</si>
  <si>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</si>
  <si>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</si>
  <si>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</si>
  <si>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</si>
  <si>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</si>
  <si>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</si>
  <si>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</si>
  <si>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</si>
  <si>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</si>
  <si>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</si>
  <si>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</si>
  <si>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</si>
  <si>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</si>
  <si>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</si>
  <si>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</si>
  <si>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</si>
  <si>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</si>
  <si>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</si>
  <si>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</si>
  <si>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</si>
  <si>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</si>
  <si>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</si>
  <si>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</si>
  <si>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</si>
  <si>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</si>
  <si>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</si>
  <si>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</si>
  <si>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</si>
  <si>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</si>
  <si>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</si>
  <si>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</si>
  <si>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</si>
  <si>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</si>
  <si>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</si>
  <si>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</si>
  <si>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</si>
  <si>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</si>
  <si>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</si>
  <si>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</si>
  <si>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</si>
  <si>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</si>
  <si>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</si>
  <si>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</si>
  <si>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</si>
  <si>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</si>
  <si>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</si>
  <si>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</si>
  <si>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</si>
  <si>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</si>
  <si>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</si>
  <si>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</si>
  <si>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</si>
  <si>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</si>
  <si>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</si>
  <si>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</si>
  <si>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</si>
  <si>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</si>
  <si>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</si>
  <si>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</si>
  <si>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</si>
  <si>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</si>
  <si>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</si>
  <si>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</si>
  <si>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</si>
  <si>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</si>
  <si>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</si>
  <si>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</si>
  <si>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</si>
  <si>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</si>
  <si>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</si>
  <si>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</si>
  <si>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</si>
  <si>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</si>
  <si>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</si>
  <si>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</si>
  <si>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</si>
  <si>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</si>
  <si>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</si>
  <si>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</si>
  <si>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</si>
  <si>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</si>
  <si>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</si>
  <si>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</si>
  <si>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</si>
  <si>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</si>
  <si>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</si>
  <si>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</si>
  <si>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</si>
  <si>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</si>
  <si>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</si>
  <si>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</si>
  <si>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</si>
  <si>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</si>
  <si>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</si>
  <si>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</si>
  <si>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</si>
  <si>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</si>
  <si>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</si>
  <si>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</si>
  <si>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</si>
  <si>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</si>
  <si>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</si>
  <si>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</si>
  <si>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</si>
  <si>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</si>
  <si>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</si>
  <si>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</si>
  <si>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</si>
  <si>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</si>
  <si>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</si>
  <si>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</si>
  <si>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</si>
  <si>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</si>
  <si>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</si>
  <si>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</si>
  <si>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</si>
  <si>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</si>
  <si>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</si>
  <si>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</si>
  <si>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</si>
  <si>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</si>
  <si>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</si>
  <si>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</si>
  <si>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</si>
  <si>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</si>
  <si>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</si>
  <si>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</si>
  <si>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</si>
  <si>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</si>
  <si>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</si>
  <si>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</si>
  <si>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</si>
  <si>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</si>
  <si>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</si>
  <si>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</si>
  <si>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</si>
  <si>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</si>
  <si>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</si>
  <si>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</si>
  <si>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</si>
  <si>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</si>
  <si>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</si>
  <si>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</si>
  <si>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</si>
  <si>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</si>
  <si>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</si>
  <si>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</si>
  <si>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</si>
  <si>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</si>
  <si>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</si>
  <si>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</si>
  <si>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</si>
  <si>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</si>
  <si>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</si>
  <si>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</si>
  <si>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</si>
  <si>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</si>
  <si>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</si>
  <si>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</si>
  <si>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</si>
  <si>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</si>
  <si>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</si>
  <si>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</si>
  <si>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</si>
  <si>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</si>
  <si>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</si>
  <si>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</si>
  <si>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</si>
  <si>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</si>
  <si>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</si>
  <si>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</si>
  <si>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</si>
  <si>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</si>
  <si>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</si>
  <si>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</si>
  <si>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</si>
  <si>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</si>
  <si>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</si>
  <si>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</si>
  <si>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</si>
  <si>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</si>
  <si>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</si>
  <si>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</si>
  <si>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</si>
  <si>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</si>
  <si>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</si>
  <si>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</si>
  <si>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</si>
  <si>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</si>
  <si>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</si>
  <si>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</si>
  <si>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</si>
  <si>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</si>
  <si>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</si>
  <si>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</si>
  <si>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</si>
  <si>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</si>
  <si>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</si>
  <si>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</si>
  <si>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</si>
  <si>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</si>
  <si>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</si>
  <si>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</si>
  <si>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</si>
  <si>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</si>
  <si>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</si>
  <si>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</si>
  <si>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</si>
  <si>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</si>
  <si>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</si>
  <si>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</si>
  <si>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</si>
  <si>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</si>
  <si>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</si>
  <si>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</si>
  <si>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</si>
  <si>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</si>
  <si>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</si>
  <si>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</si>
  <si>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</si>
  <si>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</si>
  <si>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</si>
  <si>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</si>
  <si>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</si>
  <si>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</si>
  <si>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</si>
  <si>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</si>
  <si>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</si>
  <si>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</si>
  <si>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</si>
  <si>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</si>
  <si>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</si>
  <si>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</si>
  <si>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</si>
  <si>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</si>
  <si>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</si>
  <si>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</si>
  <si>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</si>
  <si>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</si>
  <si>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</si>
  <si>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</si>
  <si>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</si>
  <si>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</si>
  <si>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</si>
  <si>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</si>
  <si>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</si>
  <si>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</si>
  <si>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</si>
  <si>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</si>
  <si>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</si>
  <si>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</si>
  <si>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</si>
  <si>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</si>
  <si>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</si>
  <si>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</si>
  <si>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</si>
  <si>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</si>
  <si>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</si>
  <si>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</si>
  <si>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</si>
  <si>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</si>
  <si>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</si>
  <si>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</si>
  <si>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</si>
  <si>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</si>
  <si>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</si>
  <si>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</si>
  <si>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</si>
  <si>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</si>
  <si>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</si>
  <si>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</si>
  <si>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</si>
  <si>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</si>
  <si>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</si>
  <si>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</si>
  <si>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</si>
  <si>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</si>
  <si>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</si>
  <si>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</si>
  <si>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</si>
  <si>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</si>
  <si>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</si>
  <si>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</si>
  <si>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</si>
  <si>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</si>
  <si>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</si>
  <si>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</si>
  <si>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</si>
  <si>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</si>
  <si>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</si>
  <si>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</si>
  <si>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</si>
  <si>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</si>
  <si>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</si>
  <si>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</si>
  <si>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</si>
  <si>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</si>
  <si>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</si>
  <si>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</si>
  <si>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</si>
  <si>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</si>
  <si>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</si>
  <si>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</si>
  <si>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</si>
  <si>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</si>
  <si>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</si>
  <si>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</si>
  <si>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</si>
  <si>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</si>
  <si>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</si>
  <si>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</si>
  <si>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</si>
  <si>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</si>
  <si>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</si>
  <si>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</si>
  <si>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</si>
  <si>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</si>
  <si>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</si>
  <si>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</si>
  <si>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</si>
  <si>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</si>
  <si>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</si>
  <si>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</si>
  <si>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</si>
  <si>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</si>
  <si>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</si>
  <si>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</si>
  <si>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</si>
  <si>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</si>
  <si>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</si>
  <si>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</si>
  <si>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</si>
  <si>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</si>
  <si>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</si>
  <si>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</si>
  <si>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</si>
  <si>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</si>
  <si>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</si>
  <si>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</si>
  <si>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</si>
  <si>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</si>
  <si>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</si>
  <si>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</si>
  <si>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</si>
  <si>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</si>
  <si>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</si>
  <si>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</si>
  <si>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</si>
  <si>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</si>
  <si>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</si>
  <si>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</si>
  <si>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</si>
  <si>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</si>
  <si>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</si>
  <si>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</si>
  <si>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</si>
  <si>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</si>
  <si>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</si>
  <si>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</si>
  <si>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</si>
  <si>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</si>
  <si>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</si>
  <si>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</si>
  <si>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</si>
  <si>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</si>
  <si>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</si>
  <si>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</si>
  <si>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</si>
  <si>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</si>
  <si>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</si>
  <si>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</si>
  <si>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</si>
  <si>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</si>
  <si>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</si>
  <si>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</si>
  <si>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</si>
  <si>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</si>
  <si>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</si>
  <si>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</si>
  <si>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</si>
  <si>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</si>
  <si>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</si>
  <si>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</si>
  <si>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</si>
  <si>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</si>
  <si>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</si>
  <si>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</si>
  <si>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</si>
  <si>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</si>
  <si>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</si>
  <si>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</si>
  <si>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</si>
  <si>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</si>
  <si>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</si>
  <si>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</si>
  <si>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</si>
  <si>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</si>
  <si>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</si>
  <si>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</si>
  <si>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</si>
  <si>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</si>
  <si>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</si>
  <si>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</si>
  <si>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</si>
  <si>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</si>
  <si>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</si>
  <si>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</si>
  <si>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</si>
  <si>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</si>
  <si>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</si>
  <si>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</si>
  <si>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</si>
  <si>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</si>
  <si>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</si>
  <si>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</si>
  <si>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</si>
  <si>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</si>
  <si>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</si>
  <si>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</si>
  <si>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</si>
  <si>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</si>
  <si>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</si>
  <si>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</si>
  <si>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</si>
  <si>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</si>
  <si>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</si>
  <si>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</si>
  <si>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</si>
  <si>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</si>
  <si>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</si>
  <si>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</si>
  <si>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</si>
  <si>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</si>
  <si>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</si>
  <si>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</si>
  <si>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</si>
  <si>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</si>
  <si>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</si>
  <si>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</si>
  <si>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</si>
  <si>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</si>
  <si>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</si>
  <si>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</si>
  <si>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</si>
  <si>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</si>
  <si>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</si>
  <si>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</si>
  <si>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</si>
  <si>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</si>
  <si>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</si>
  <si>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</si>
  <si>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</si>
  <si>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</si>
  <si>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</si>
  <si>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</si>
  <si>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</si>
  <si>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</si>
  <si>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</si>
  <si>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</si>
  <si>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</si>
  <si>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</si>
  <si>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</si>
  <si>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</si>
  <si>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</si>
  <si>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</si>
  <si>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</si>
  <si>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</si>
  <si>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</si>
  <si>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</si>
  <si>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</si>
  <si>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</si>
  <si>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</si>
  <si>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</si>
  <si>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</si>
  <si>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</si>
  <si>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</si>
  <si>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</si>
  <si>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</si>
  <si>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</si>
  <si>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</si>
  <si>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</si>
  <si>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</si>
  <si>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</si>
  <si>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</si>
  <si>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</si>
  <si>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</si>
  <si>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</si>
  <si>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</si>
  <si>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</si>
  <si>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</si>
  <si>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</si>
  <si>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</si>
  <si>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</si>
  <si>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</si>
  <si>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</si>
  <si>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</si>
  <si>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</si>
  <si>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</si>
  <si>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</si>
  <si>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</si>
  <si>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</si>
  <si>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</si>
  <si>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</si>
  <si>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</si>
  <si>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</si>
  <si>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</si>
  <si>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</si>
  <si>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</si>
  <si>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</si>
  <si>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</si>
  <si>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</si>
  <si>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</si>
  <si>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</si>
  <si>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</si>
  <si>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</si>
  <si>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</si>
  <si>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</si>
  <si>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</si>
  <si>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</si>
  <si>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</si>
  <si>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</si>
  <si>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</si>
  <si>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</si>
  <si>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</si>
  <si>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</si>
  <si>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</si>
  <si>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</si>
  <si>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</si>
  <si>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</si>
  <si>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</si>
  <si>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</si>
  <si>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</si>
  <si>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</si>
  <si>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</si>
  <si>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</si>
  <si>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</si>
  <si>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</si>
  <si>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</si>
  <si>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</si>
  <si>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</si>
  <si>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</si>
  <si>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</si>
  <si>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</si>
  <si>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</si>
  <si>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</si>
  <si>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</si>
  <si>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</si>
  <si>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</si>
  <si>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</si>
  <si>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</si>
  <si>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</si>
  <si>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</si>
  <si>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</si>
  <si>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</si>
  <si>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</si>
  <si>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</si>
  <si>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</si>
  <si>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</si>
  <si>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</si>
  <si>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</si>
  <si>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</si>
  <si>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</si>
  <si>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</si>
  <si>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</si>
  <si>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</si>
  <si>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</si>
  <si>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</si>
  <si>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</si>
  <si>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</si>
  <si>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</si>
  <si>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</si>
  <si>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</si>
  <si>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</si>
  <si>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</si>
  <si>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</si>
  <si>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</si>
  <si>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</si>
  <si>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</si>
  <si>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</si>
  <si>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</si>
  <si>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</si>
  <si>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</si>
  <si>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</si>
  <si>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</si>
  <si>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</si>
  <si>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</si>
  <si>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</si>
  <si>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</si>
  <si>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</si>
  <si>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</si>
  <si>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</si>
  <si>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</si>
  <si>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</si>
  <si>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</si>
  <si>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</si>
  <si>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</si>
  <si>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</si>
  <si>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</si>
  <si>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</si>
  <si>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</si>
  <si>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</si>
  <si>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</si>
  <si>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</si>
  <si>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</si>
  <si>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</si>
  <si>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</si>
  <si>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</si>
  <si>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</si>
  <si>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</si>
  <si>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</si>
  <si>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</si>
  <si>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</si>
  <si>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</si>
  <si>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</si>
  <si>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</si>
  <si>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</si>
  <si>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</si>
  <si>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</si>
  <si>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</si>
  <si>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</si>
  <si>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</si>
  <si>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</si>
  <si>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</si>
  <si>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</si>
  <si>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</si>
  <si>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</si>
  <si>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</si>
  <si>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</si>
  <si>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</si>
  <si>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</si>
  <si>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</si>
  <si>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</si>
  <si>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</si>
  <si>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</si>
  <si>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</si>
  <si>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</si>
  <si>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</si>
  <si>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</si>
  <si>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</si>
  <si>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</si>
  <si>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</si>
  <si>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</si>
  <si>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</si>
  <si>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</si>
  <si>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</si>
  <si>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</si>
  <si>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</si>
  <si>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</si>
  <si>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</si>
  <si>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</si>
  <si>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</si>
  <si>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</si>
  <si>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</si>
  <si>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</si>
  <si>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</si>
  <si>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</si>
  <si>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</si>
  <si>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</si>
  <si>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</si>
  <si>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</si>
  <si>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</si>
  <si>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</si>
  <si>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</si>
  <si>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</si>
  <si>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</si>
  <si>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</si>
  <si>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</si>
  <si>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</si>
  <si>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</si>
  <si>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</si>
  <si>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</si>
  <si>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</si>
  <si>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</si>
  <si>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</si>
  <si>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</si>
  <si>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</si>
  <si>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</si>
  <si>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</si>
  <si>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</si>
  <si>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</si>
  <si>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</si>
  <si>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</si>
  <si>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</si>
  <si>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</si>
  <si>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</si>
  <si>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</si>
  <si>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</si>
  <si>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</si>
  <si>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</si>
  <si>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</si>
  <si>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</si>
  <si>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</si>
  <si>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</si>
  <si>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</si>
  <si>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</si>
  <si>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</si>
  <si>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</si>
  <si>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</si>
  <si>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</si>
  <si>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</si>
  <si>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</si>
  <si>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</si>
  <si>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</si>
  <si>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</si>
  <si>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</si>
  <si>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</si>
  <si>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</si>
  <si>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</si>
  <si>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</si>
  <si>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</si>
  <si>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</si>
  <si>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</si>
  <si>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</si>
  <si>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</si>
  <si>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</si>
  <si>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</si>
  <si>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</si>
  <si>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</si>
  <si>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</si>
  <si>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</si>
  <si>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</si>
  <si>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</si>
  <si>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</si>
  <si>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</si>
  <si>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</si>
  <si>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</si>
  <si>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</si>
  <si>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</si>
  <si>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</si>
  <si>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</si>
  <si>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</si>
  <si>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</si>
  <si>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</si>
  <si>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</si>
  <si>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</si>
  <si>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</si>
  <si>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</si>
  <si>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</si>
  <si>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</si>
  <si>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</si>
  <si>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</si>
  <si>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</si>
  <si>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</si>
  <si>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</si>
  <si>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</si>
  <si>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</si>
  <si>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</si>
  <si>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</si>
  <si>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</si>
  <si>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</si>
  <si>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</si>
  <si>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</si>
  <si>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</si>
  <si>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</si>
  <si>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</si>
  <si>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</si>
  <si>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</si>
  <si>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</si>
  <si>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</si>
  <si>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</si>
  <si>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</si>
  <si>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</si>
  <si>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</si>
  <si>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</si>
  <si>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</si>
  <si>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</si>
  <si>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</si>
  <si>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</si>
  <si>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</si>
  <si>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</si>
  <si>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</si>
  <si>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</si>
  <si>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</si>
  <si>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</si>
  <si>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</si>
  <si>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</si>
  <si>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</si>
  <si>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</si>
  <si>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</si>
  <si>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</si>
  <si>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</si>
  <si>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</si>
  <si>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</si>
  <si>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</si>
  <si>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</si>
  <si>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</si>
  <si>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</si>
  <si>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</si>
  <si>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</si>
  <si>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</si>
  <si>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</si>
  <si>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</si>
  <si>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</si>
  <si>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</si>
  <si>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</si>
  <si>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</si>
  <si>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</si>
  <si>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</si>
  <si>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</si>
  <si>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</si>
  <si>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</si>
  <si>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</si>
  <si>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</si>
  <si>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</si>
  <si>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</si>
  <si>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</si>
  <si>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</si>
  <si>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</si>
  <si>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</si>
  <si>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</si>
  <si>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</si>
  <si>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</si>
  <si>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</si>
  <si>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</si>
  <si>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</si>
  <si>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</si>
  <si>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</si>
  <si>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</si>
  <si>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</si>
  <si>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</si>
  <si>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</si>
  <si>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</si>
  <si>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</si>
  <si>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</si>
  <si>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</si>
  <si>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</si>
  <si>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</si>
  <si>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</si>
  <si>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</si>
  <si>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</si>
  <si>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</si>
  <si>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</si>
  <si>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</si>
  <si>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</si>
  <si>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</si>
  <si>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</si>
  <si>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</si>
  <si>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</si>
  <si>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</si>
  <si>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</si>
  <si>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</si>
  <si>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</si>
  <si>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</si>
  <si>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</si>
  <si>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</si>
  <si>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</si>
  <si>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</si>
  <si>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</si>
  <si>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</si>
  <si>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</si>
  <si>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</si>
  <si>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</si>
  <si>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</si>
  <si>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</si>
  <si>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</si>
  <si>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</si>
  <si>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</si>
  <si>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</si>
  <si>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</si>
  <si>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</si>
  <si>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</si>
  <si>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</si>
  <si>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</si>
  <si>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</si>
  <si>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</si>
  <si>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</si>
  <si>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</si>
  <si>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</si>
  <si>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</si>
  <si>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</si>
  <si>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</si>
  <si>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</si>
  <si>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</si>
  <si>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</si>
  <si>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</si>
  <si>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</si>
  <si>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</si>
  <si>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</si>
  <si>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</si>
  <si>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</si>
  <si>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</si>
  <si>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</si>
  <si>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</si>
  <si>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</si>
  <si>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</si>
  <si>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</si>
  <si>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</si>
  <si>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</si>
  <si>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</si>
  <si>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</si>
  <si>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</si>
  <si>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</si>
  <si>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</si>
  <si>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</si>
  <si>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</si>
  <si>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</si>
  <si>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</si>
  <si>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</si>
  <si>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</si>
  <si>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</si>
  <si>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</si>
  <si>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</si>
  <si>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</si>
  <si>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</si>
  <si>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</si>
  <si>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</si>
  <si>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</si>
  <si>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</si>
  <si>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</si>
  <si>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</si>
  <si>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</si>
  <si>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</si>
  <si>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</si>
  <si>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</si>
  <si>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</si>
  <si>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</si>
  <si>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</si>
  <si>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</si>
  <si>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</si>
  <si>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</si>
  <si>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</si>
  <si>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</si>
  <si>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</si>
  <si>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</si>
  <si>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</si>
  <si>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</si>
  <si>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</si>
  <si>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</si>
  <si>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</si>
  <si>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</si>
  <si>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</si>
  <si>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</si>
  <si>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</si>
  <si>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</si>
  <si>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</si>
  <si>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</si>
  <si>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</si>
  <si>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</si>
  <si>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</si>
  <si>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</si>
  <si>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</si>
  <si>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</si>
  <si>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</si>
  <si>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</si>
  <si>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</si>
  <si>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</si>
  <si>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</si>
  <si>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</si>
  <si>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</si>
  <si>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</si>
  <si>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</si>
  <si>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</si>
  <si>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</si>
  <si>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</si>
  <si>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</si>
  <si>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</si>
  <si>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</si>
  <si>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</si>
  <si>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</si>
  <si>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</si>
  <si>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</si>
  <si>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</si>
  <si>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</si>
  <si>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</si>
  <si>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</si>
  <si>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</si>
  <si>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</si>
  <si>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</si>
  <si>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</si>
  <si>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</si>
  <si>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</si>
  <si>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</si>
  <si>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</si>
  <si>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</si>
  <si>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</si>
  <si>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</si>
  <si>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</si>
  <si>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</si>
  <si>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</si>
  <si>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</si>
  <si>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</si>
  <si>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</si>
  <si>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</si>
  <si>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</si>
  <si>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</si>
  <si>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</si>
  <si>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</si>
  <si>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</si>
  <si>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</si>
  <si>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</si>
  <si>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</si>
  <si>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</si>
  <si>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</si>
  <si>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</si>
  <si>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</si>
  <si>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</si>
  <si>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</si>
  <si>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</si>
  <si>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</si>
  <si>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</si>
  <si>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</si>
  <si>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</si>
  <si>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</si>
  <si>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</si>
  <si>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</si>
  <si>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</si>
  <si>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</si>
  <si>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</si>
  <si>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</si>
  <si>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</si>
  <si>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</si>
  <si>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</si>
  <si>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</si>
  <si>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</si>
  <si>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</si>
  <si>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</si>
  <si>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</si>
  <si>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</si>
  <si>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</si>
  <si>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</si>
  <si>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</si>
  <si>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</si>
  <si>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</si>
  <si>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</si>
  <si>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</si>
  <si>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</si>
  <si>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</si>
  <si>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</si>
  <si>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</si>
  <si>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</si>
  <si>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</si>
  <si>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</si>
  <si>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</si>
  <si>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</si>
  <si>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</si>
  <si>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</si>
  <si>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</si>
  <si>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</si>
  <si>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</si>
  <si>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</si>
  <si>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</si>
  <si>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</si>
  <si>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</si>
  <si>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</si>
  <si>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</si>
  <si>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</si>
  <si>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</si>
  <si>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</si>
  <si>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</si>
  <si>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</si>
  <si>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</si>
  <si>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</si>
  <si>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</si>
  <si>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</si>
  <si>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</si>
  <si>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</si>
  <si>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</si>
  <si>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</si>
  <si>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</si>
  <si>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</si>
  <si>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</si>
  <si>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</si>
  <si>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</si>
  <si>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</si>
  <si>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</si>
  <si>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</si>
  <si>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</si>
  <si>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</si>
  <si>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</si>
  <si>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</si>
  <si>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</si>
  <si>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</si>
  <si>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</si>
  <si>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</si>
  <si>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</si>
  <si>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</si>
  <si>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</si>
  <si>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</si>
  <si>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</si>
  <si>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</si>
  <si>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</si>
  <si>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</si>
  <si>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</si>
  <si>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</si>
  <si>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</si>
  <si>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</si>
  <si>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</si>
  <si>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</si>
  <si>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</si>
  <si>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</si>
  <si>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</si>
  <si>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</si>
  <si>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</si>
  <si>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</si>
  <si>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</si>
  <si>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</si>
  <si>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</si>
  <si>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</si>
  <si>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</si>
  <si>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</si>
  <si>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</si>
  <si>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</si>
  <si>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</si>
  <si>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</si>
  <si>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</si>
  <si>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</si>
  <si>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</si>
  <si>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</si>
  <si>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</si>
  <si>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</si>
  <si>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</si>
  <si>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</si>
  <si>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</si>
  <si>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</si>
  <si>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</si>
  <si>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</si>
  <si>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</si>
  <si>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</si>
  <si>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</si>
  <si>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</si>
  <si>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</si>
  <si>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</si>
  <si>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</si>
  <si>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</si>
  <si>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</si>
  <si>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</si>
  <si>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</si>
  <si>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</si>
  <si>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</si>
  <si>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</si>
  <si>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</si>
  <si>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</si>
  <si>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</si>
  <si>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</si>
  <si>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</si>
  <si>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</si>
  <si>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</si>
  <si>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</si>
  <si>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</si>
  <si>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</si>
  <si>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</si>
  <si>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</si>
  <si>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</si>
  <si>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</si>
  <si>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</si>
  <si>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</si>
  <si>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</si>
  <si>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</si>
  <si>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</si>
  <si>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</si>
  <si>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</si>
  <si>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</si>
  <si>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</si>
  <si>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</si>
  <si>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</si>
  <si>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</si>
  <si>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</si>
  <si>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</si>
  <si>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</si>
  <si>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</si>
  <si>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</si>
  <si>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</si>
  <si>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</si>
  <si>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</si>
  <si>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</si>
  <si>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</si>
  <si>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</si>
  <si>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</si>
  <si>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</si>
  <si>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</si>
  <si>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</si>
  <si>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</si>
  <si>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</si>
  <si>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</si>
  <si>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</si>
  <si>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</si>
  <si>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</si>
  <si>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</si>
  <si>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</si>
  <si>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</si>
  <si>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</si>
  <si>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</si>
  <si>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</si>
  <si>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</si>
  <si>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</si>
  <si>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</si>
  <si>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</si>
  <si>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</si>
  <si>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</si>
  <si>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</si>
  <si>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</si>
  <si>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</si>
  <si>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</si>
  <si>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</si>
  <si>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</si>
  <si>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</si>
  <si>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</si>
  <si>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</si>
  <si>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</si>
  <si>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</si>
  <si>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</si>
  <si>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</si>
  <si>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</si>
  <si>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</si>
  <si>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</si>
  <si>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</si>
  <si>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</si>
  <si>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</si>
  <si>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</si>
  <si>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</si>
  <si>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</si>
  <si>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</si>
  <si>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</si>
  <si>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</si>
  <si>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</si>
  <si>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</si>
  <si>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</si>
  <si>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</si>
  <si>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</si>
  <si>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</si>
  <si>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</si>
  <si>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</si>
  <si>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</si>
  <si>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</si>
  <si>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</si>
  <si>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</si>
  <si>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</si>
  <si>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</si>
  <si>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</si>
  <si>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</si>
  <si>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</si>
  <si>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</si>
  <si>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</si>
  <si>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</si>
  <si>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</si>
  <si>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</si>
  <si>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</si>
  <si>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</si>
  <si>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</si>
  <si>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</si>
  <si>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</si>
  <si>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</si>
  <si>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</si>
  <si>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</si>
  <si>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</si>
  <si>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</si>
  <si>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</si>
  <si>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</si>
  <si>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</si>
  <si>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</si>
  <si>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</si>
  <si>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</si>
  <si>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</si>
  <si>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</si>
  <si>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</si>
  <si>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</si>
  <si>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</si>
  <si>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</si>
  <si>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</si>
  <si>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</si>
  <si>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</si>
  <si>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</si>
  <si>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</si>
  <si>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</si>
  <si>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</si>
  <si>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</si>
  <si>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</si>
  <si>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</si>
  <si>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</si>
  <si>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</si>
  <si>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</si>
  <si>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</si>
  <si>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</si>
  <si>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</si>
  <si>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</si>
  <si>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</si>
  <si>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</si>
  <si>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</si>
  <si>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</si>
  <si>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</si>
  <si>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</si>
  <si>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</si>
  <si>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</si>
  <si>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</si>
  <si>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</si>
  <si>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</si>
  <si>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</si>
  <si>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</si>
  <si>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</si>
  <si>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</si>
  <si>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</si>
  <si>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</si>
  <si>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</si>
  <si>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</si>
  <si>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</si>
  <si>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</si>
  <si>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</si>
  <si>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</si>
  <si>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</si>
  <si>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</si>
  <si>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</si>
  <si>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</si>
  <si>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</si>
  <si>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</si>
  <si>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</si>
  <si>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</si>
  <si>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</si>
  <si>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</si>
  <si>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</si>
  <si>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</si>
  <si>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</si>
  <si>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</si>
  <si>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</si>
  <si>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</si>
  <si>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</si>
  <si>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</si>
  <si>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</si>
  <si>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</si>
  <si>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</si>
  <si>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</si>
  <si>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</si>
  <si>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</si>
  <si>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</si>
  <si>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</si>
  <si>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</si>
  <si>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</si>
  <si>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</si>
  <si>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</si>
  <si>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</si>
  <si>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</si>
  <si>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</si>
  <si>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</si>
  <si>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</si>
  <si>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</si>
  <si>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</si>
  <si>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</si>
  <si>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</si>
  <si>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</si>
  <si>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</si>
  <si>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</si>
  <si>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</si>
  <si>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</si>
  <si>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</si>
  <si>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</si>
  <si>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</si>
  <si>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</si>
  <si>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</si>
  <si>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</si>
  <si>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</si>
  <si>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</si>
  <si>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</si>
  <si>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</si>
  <si>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</si>
  <si>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</si>
  <si>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</si>
  <si>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</si>
  <si>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</si>
  <si>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</si>
  <si>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</si>
  <si>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</si>
  <si>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</si>
  <si>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</si>
  <si>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</si>
  <si>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</si>
  <si>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</si>
  <si>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</si>
  <si>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</si>
  <si>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</si>
  <si>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</si>
  <si>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</si>
  <si>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</si>
  <si>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</si>
  <si>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</si>
  <si>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</si>
  <si>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</si>
  <si>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</si>
  <si>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</si>
  <si>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</si>
  <si>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</si>
  <si>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</si>
  <si>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</si>
  <si>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</si>
  <si>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</si>
  <si>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</si>
  <si>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</si>
  <si>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</si>
  <si>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</si>
  <si>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</si>
  <si>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</si>
  <si>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</si>
  <si>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</si>
  <si>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</si>
  <si>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</si>
  <si>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</si>
  <si>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</si>
  <si>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</si>
  <si>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</si>
  <si>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</si>
  <si>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</si>
  <si>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</si>
  <si>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</si>
  <si>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</si>
  <si>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</si>
  <si>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</si>
  <si>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</si>
  <si>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</si>
  <si>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</si>
  <si>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</si>
  <si>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</si>
  <si>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</si>
  <si>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</si>
  <si>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</si>
  <si>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</si>
  <si>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</si>
  <si>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</si>
  <si>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</si>
  <si>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</si>
  <si>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</si>
  <si>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</si>
  <si>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</si>
  <si>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</si>
  <si>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</si>
  <si>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</si>
  <si>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</si>
  <si>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</si>
  <si>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</si>
  <si>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</si>
  <si>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</si>
  <si>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</si>
  <si>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</si>
  <si>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</si>
  <si>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</si>
  <si>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</si>
  <si>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</si>
  <si>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</si>
  <si>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</si>
  <si>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</si>
  <si>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</si>
  <si>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</si>
  <si>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</si>
  <si>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</si>
  <si>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</si>
  <si>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</si>
  <si>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</si>
  <si>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</si>
  <si>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</si>
  <si>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</si>
  <si>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</si>
  <si>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</si>
  <si>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</si>
  <si>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</si>
  <si>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</si>
  <si>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</si>
  <si>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</si>
  <si>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</si>
  <si>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</si>
  <si>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</si>
  <si>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</si>
  <si>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</si>
  <si>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</si>
  <si>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</si>
  <si>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</si>
  <si>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</si>
  <si>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</si>
  <si>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</si>
  <si>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</si>
  <si>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</si>
  <si>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</si>
  <si>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</si>
  <si>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</si>
  <si>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</si>
  <si>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</si>
  <si>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</si>
  <si>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</si>
  <si>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</si>
  <si>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</si>
  <si>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</si>
  <si>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</si>
  <si>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</si>
  <si>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</si>
  <si>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</si>
  <si>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</si>
  <si>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</si>
  <si>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</si>
  <si>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</si>
  <si>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</si>
  <si>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</si>
  <si>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</si>
  <si>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</si>
  <si>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</si>
  <si>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</si>
  <si>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</si>
  <si>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</si>
  <si>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</si>
  <si>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</si>
  <si>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</si>
  <si>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</si>
  <si>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</si>
  <si>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</si>
  <si>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</si>
  <si>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</si>
  <si>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</si>
  <si>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</si>
  <si>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</si>
  <si>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</si>
  <si>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</si>
  <si>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</si>
  <si>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</si>
  <si>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</si>
  <si>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</si>
  <si>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</si>
  <si>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</si>
  <si>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</si>
  <si>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</si>
  <si>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</si>
  <si>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</si>
  <si>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</si>
  <si>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</si>
  <si>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</si>
  <si>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</si>
  <si>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</si>
  <si>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</si>
  <si>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</si>
  <si>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</si>
  <si>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</si>
  <si>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</si>
  <si>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</si>
  <si>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</si>
  <si>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</si>
  <si>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</si>
  <si>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</si>
  <si>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</si>
  <si>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</si>
  <si>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</si>
  <si>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</si>
  <si>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</si>
  <si>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</si>
  <si>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</si>
  <si>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</si>
  <si>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</si>
  <si>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</si>
  <si>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</si>
  <si>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</si>
  <si>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</si>
  <si>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</si>
  <si>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</si>
  <si>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</si>
  <si>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</si>
  <si>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</si>
  <si>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</si>
  <si>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</si>
  <si>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</si>
  <si>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</si>
  <si>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</si>
  <si>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</si>
  <si>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</si>
  <si>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</si>
  <si>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</si>
  <si>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</si>
  <si>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</si>
  <si>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</si>
  <si>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</si>
  <si>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</si>
  <si>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</si>
  <si>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</si>
  <si>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</si>
  <si>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</si>
  <si>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</si>
  <si>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</si>
  <si>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</si>
  <si>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</si>
  <si>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</si>
  <si>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</si>
  <si>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</si>
  <si>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</si>
  <si>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</si>
  <si>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</si>
  <si>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</si>
  <si>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</si>
  <si>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</si>
  <si>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</si>
  <si>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</si>
  <si>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</si>
  <si>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</si>
  <si>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</si>
  <si>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</si>
  <si>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</si>
  <si>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</si>
  <si>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</si>
  <si>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</si>
  <si>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</si>
  <si>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</si>
  <si>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</si>
  <si>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</si>
  <si>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</si>
  <si>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</si>
  <si>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</si>
  <si>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</si>
  <si>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</si>
  <si>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</si>
  <si>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</si>
  <si>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</si>
  <si>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</si>
  <si>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</si>
  <si>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</si>
  <si>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</si>
  <si>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</si>
  <si>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</si>
  <si>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</si>
  <si>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</si>
  <si>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</si>
  <si>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</si>
  <si>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</si>
  <si>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</si>
  <si>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</si>
  <si>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</si>
  <si>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</si>
  <si>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</si>
  <si>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</si>
  <si>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</si>
  <si>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</si>
  <si>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</si>
  <si>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</si>
  <si>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</si>
  <si>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</si>
  <si>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</si>
  <si>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</si>
  <si>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</si>
  <si>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</si>
  <si>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</si>
  <si>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</si>
  <si>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</si>
  <si>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</si>
  <si>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</si>
  <si>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</si>
  <si>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</si>
  <si>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</si>
  <si>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</si>
  <si>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</si>
  <si>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</si>
  <si>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</si>
  <si>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</si>
  <si>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</si>
  <si>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</si>
  <si>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</si>
  <si>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</si>
  <si>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</si>
  <si>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</si>
  <si>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</si>
  <si>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</si>
  <si>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</si>
  <si>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</si>
  <si>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</si>
  <si>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</si>
  <si>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</si>
  <si>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</si>
  <si>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</si>
  <si>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</si>
  <si>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</si>
  <si>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</si>
  <si>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</si>
  <si>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</si>
  <si>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</si>
  <si>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</si>
  <si>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</si>
  <si>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</si>
  <si>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</si>
  <si>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</si>
  <si>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</si>
  <si>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</si>
  <si>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</si>
  <si>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</si>
  <si>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</si>
  <si>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</si>
  <si>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</si>
  <si>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</si>
  <si>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</si>
  <si>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</si>
  <si>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</si>
  <si>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</si>
  <si>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</si>
  <si>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</si>
  <si>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</si>
  <si>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</si>
  <si>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</si>
  <si>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</si>
  <si>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</si>
  <si>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</si>
  <si>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</si>
  <si>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</si>
  <si>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</si>
  <si>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</si>
  <si>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</si>
  <si>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</si>
  <si>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</si>
  <si>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</si>
  <si>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</si>
  <si>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</si>
  <si>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</si>
  <si>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</si>
  <si>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</si>
  <si>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</si>
  <si>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</si>
  <si>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</si>
  <si>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</si>
  <si>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</si>
  <si>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</si>
  <si>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</si>
  <si>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</si>
  <si>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</si>
  <si>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</si>
  <si>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</si>
  <si>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</si>
  <si>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</si>
  <si>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</si>
  <si>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</si>
  <si>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</si>
  <si>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</si>
  <si>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</si>
  <si>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</si>
  <si>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</si>
  <si>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</si>
  <si>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</si>
  <si>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</si>
  <si>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</si>
  <si>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</si>
  <si>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</si>
  <si>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</si>
  <si>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</si>
  <si>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</si>
  <si>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</si>
  <si>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</si>
  <si>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</si>
  <si>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</si>
  <si>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</si>
  <si>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</si>
  <si>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</si>
  <si>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</si>
  <si>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</si>
  <si>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</si>
  <si>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</si>
  <si>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</si>
  <si>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</si>
  <si>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</si>
  <si>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</si>
  <si>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</si>
  <si>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</si>
  <si>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</si>
  <si>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</si>
  <si>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</si>
  <si>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</si>
  <si>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</si>
  <si>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</si>
  <si>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</si>
  <si>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</si>
  <si>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</si>
  <si>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</si>
  <si>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</si>
  <si>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</si>
  <si>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</si>
  <si>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</si>
  <si>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</si>
  <si>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</si>
  <si>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</si>
  <si>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</si>
  <si>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</si>
  <si>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</si>
  <si>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</si>
  <si>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</si>
  <si>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</si>
  <si>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</si>
  <si>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</si>
  <si>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</si>
  <si>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</si>
  <si>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</si>
  <si>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</si>
  <si>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</si>
  <si>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</si>
  <si>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</si>
  <si>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</si>
  <si>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</si>
  <si>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</si>
  <si>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</si>
  <si>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</si>
  <si>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</si>
  <si>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</si>
  <si>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</si>
  <si>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</si>
  <si>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</si>
  <si>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</si>
  <si>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</si>
  <si>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</si>
  <si>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</si>
  <si>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</si>
  <si>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</si>
  <si>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</si>
  <si>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</si>
  <si>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</si>
  <si>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</si>
  <si>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</si>
  <si>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</si>
  <si>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</si>
  <si>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</si>
  <si>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</si>
  <si>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</si>
  <si>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</si>
  <si>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</si>
  <si>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</si>
  <si>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</si>
  <si>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</si>
  <si>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</si>
  <si>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</si>
  <si>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</si>
  <si>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</si>
  <si>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</si>
  <si>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</si>
  <si>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</si>
  <si>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</si>
  <si>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</si>
  <si>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</si>
  <si>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</si>
  <si>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</si>
  <si>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</si>
  <si>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</si>
  <si>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</si>
  <si>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</si>
  <si>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</si>
  <si>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</si>
  <si>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</si>
  <si>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</si>
  <si>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</si>
  <si>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</si>
  <si>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</si>
  <si>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</si>
  <si>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</si>
  <si>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</si>
  <si>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</si>
  <si>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</si>
  <si>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</si>
  <si>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</si>
  <si>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</si>
  <si>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</si>
  <si>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</si>
  <si>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</si>
  <si>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</si>
  <si>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</si>
  <si>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</si>
  <si>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</si>
  <si>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</si>
  <si>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</si>
  <si>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</si>
  <si>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</si>
  <si>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</si>
  <si>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</si>
  <si>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</si>
  <si>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</si>
  <si>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</si>
  <si>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</si>
  <si>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</si>
  <si>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</si>
  <si>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</si>
  <si>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</si>
  <si>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</si>
  <si>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</si>
  <si>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</si>
  <si>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</si>
  <si>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</si>
  <si>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</si>
  <si>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</si>
  <si>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</si>
  <si>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</si>
  <si>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</si>
  <si>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</si>
  <si>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</si>
  <si>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</si>
  <si>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</si>
  <si>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</si>
  <si>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</si>
  <si>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</si>
  <si>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</si>
  <si>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</si>
  <si>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</si>
  <si>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</si>
  <si>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</si>
  <si>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</si>
  <si>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</si>
  <si>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</si>
  <si>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</si>
  <si>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</si>
  <si>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</si>
  <si>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</si>
  <si>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</si>
  <si>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</si>
  <si>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</si>
  <si>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</si>
  <si>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</si>
  <si>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</si>
  <si>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</si>
  <si>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</si>
  <si>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</si>
  <si>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</si>
  <si>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</si>
  <si>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</si>
  <si>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</si>
  <si>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</si>
  <si>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</si>
  <si>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</si>
  <si>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</si>
  <si>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</si>
  <si>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</si>
  <si>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</si>
  <si>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</si>
  <si>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</si>
  <si>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</si>
  <si>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</si>
  <si>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</si>
  <si>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</si>
  <si>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</si>
  <si>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</si>
  <si>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</si>
  <si>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</si>
  <si>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</si>
  <si>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</si>
  <si>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</si>
  <si>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</si>
  <si>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</si>
  <si>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</si>
  <si>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</si>
  <si>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</si>
  <si>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</si>
  <si>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</si>
  <si>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</si>
  <si>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</si>
  <si>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</si>
  <si>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</si>
  <si>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</si>
  <si>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</si>
  <si>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</si>
  <si>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</si>
  <si>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</si>
  <si>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</si>
  <si>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</si>
  <si>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</si>
  <si>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</si>
  <si>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</si>
  <si>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</si>
  <si>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</si>
  <si>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</si>
  <si>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</si>
  <si>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</si>
  <si>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</si>
  <si>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</si>
  <si>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</si>
  <si>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</si>
  <si>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</si>
  <si>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</si>
  <si>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</si>
  <si>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</si>
  <si>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</si>
  <si>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</si>
  <si>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</si>
  <si>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</si>
  <si>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</si>
  <si>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</si>
  <si>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</si>
  <si>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</si>
  <si>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</si>
  <si>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</si>
  <si>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</si>
  <si>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</si>
  <si>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</si>
  <si>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</si>
  <si>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</si>
  <si>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</si>
  <si>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</si>
  <si>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</si>
  <si>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</si>
  <si>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</si>
  <si>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</si>
  <si>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</si>
  <si>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</si>
  <si>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</si>
  <si>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</si>
  <si>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</si>
  <si>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</si>
  <si>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</si>
  <si>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</si>
  <si>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</si>
  <si>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</si>
  <si>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</si>
  <si>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</si>
  <si>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</si>
  <si>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</si>
  <si>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</si>
  <si>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</si>
  <si>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</si>
  <si>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</si>
  <si>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</si>
  <si>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</si>
  <si>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</si>
  <si>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</si>
  <si>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</si>
  <si>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</si>
  <si>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</si>
  <si>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</si>
  <si>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</si>
  <si>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</si>
  <si>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</si>
  <si>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</si>
  <si>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</si>
  <si>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</si>
  <si>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</si>
  <si>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</si>
  <si>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</si>
  <si>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</si>
  <si>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</si>
  <si>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</si>
  <si>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</si>
  <si>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</si>
  <si>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</si>
  <si>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</si>
  <si>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</si>
  <si>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</si>
  <si>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</si>
  <si>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</si>
  <si>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</si>
  <si>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</si>
  <si>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</si>
  <si>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</si>
  <si>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</si>
  <si>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</si>
  <si>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</si>
  <si>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</si>
  <si>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</si>
  <si>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</si>
  <si>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</si>
  <si>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</si>
  <si>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</si>
  <si>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</si>
  <si>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</si>
  <si>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</si>
  <si>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</si>
  <si>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</si>
  <si>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</si>
  <si>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</si>
  <si>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</si>
  <si>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</si>
  <si>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</si>
  <si>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</si>
  <si>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</si>
  <si>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</si>
  <si>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</si>
  <si>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</si>
  <si>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</si>
  <si>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</si>
  <si>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</si>
  <si>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</si>
  <si>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</si>
  <si>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</si>
  <si>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</si>
  <si>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</si>
  <si>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</si>
  <si>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</si>
  <si>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</si>
  <si>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</si>
  <si>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</si>
  <si>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</si>
  <si>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</si>
  <si>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</si>
  <si>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</si>
  <si>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</si>
  <si>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</si>
  <si>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</si>
  <si>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</si>
  <si>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</si>
  <si>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</si>
  <si>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</si>
  <si>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</si>
  <si>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</si>
  <si>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</si>
  <si>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</si>
  <si>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</si>
  <si>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</si>
  <si>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</si>
  <si>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</si>
  <si>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</si>
  <si>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</si>
  <si>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</si>
  <si>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</si>
  <si>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</si>
  <si>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</si>
  <si>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</si>
  <si>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</si>
  <si>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</si>
  <si>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</si>
  <si>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</si>
  <si>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</si>
  <si>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</si>
  <si>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</si>
  <si>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</si>
  <si>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</si>
  <si>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</si>
  <si>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</si>
  <si>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</si>
  <si>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</si>
  <si>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</si>
  <si>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</si>
  <si>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</si>
  <si>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</si>
  <si>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</si>
  <si>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</si>
  <si>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</si>
  <si>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</si>
  <si>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</si>
  <si>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</si>
  <si>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</si>
  <si>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</si>
  <si>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</si>
  <si>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</si>
  <si>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</si>
  <si>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</si>
  <si>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</si>
  <si>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</si>
  <si>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</si>
  <si>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</si>
  <si>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</si>
  <si>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</si>
  <si>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</si>
  <si>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</si>
  <si>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</si>
  <si>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</si>
  <si>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</si>
  <si>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</si>
  <si>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</si>
  <si>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</si>
  <si>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</si>
  <si>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</si>
  <si>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</si>
  <si>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</si>
  <si>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</si>
  <si>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</si>
  <si>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</si>
  <si>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</si>
  <si>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</si>
  <si>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</si>
  <si>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</si>
  <si>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</si>
  <si>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</si>
  <si>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</si>
  <si>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</si>
  <si>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</si>
  <si>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</si>
  <si>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</si>
  <si>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</si>
  <si>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</si>
  <si>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</si>
  <si>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</si>
  <si>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</si>
  <si>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</si>
  <si>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</si>
  <si>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</si>
  <si>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</si>
  <si>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</si>
  <si>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</si>
  <si>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</si>
  <si>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</si>
  <si>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</si>
  <si>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</si>
  <si>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</si>
  <si>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</si>
  <si>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</si>
  <si>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</si>
  <si>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</si>
  <si>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</si>
  <si>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</si>
  <si>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</si>
  <si>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</si>
  <si>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</si>
  <si>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</si>
  <si>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</si>
  <si>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</si>
  <si>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</si>
  <si>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</si>
  <si>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</si>
  <si>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</si>
  <si>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</si>
  <si>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</si>
  <si>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</si>
  <si>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</si>
  <si>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</si>
  <si>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</si>
  <si>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</si>
  <si>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</si>
  <si>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</si>
  <si>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</si>
  <si>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</si>
  <si>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</si>
  <si>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</si>
  <si>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</si>
  <si>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</si>
  <si>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</si>
  <si>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</si>
  <si>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</si>
  <si>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</si>
  <si>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</si>
  <si>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</si>
  <si>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</si>
  <si>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</si>
  <si>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</si>
  <si>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</si>
  <si>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</si>
  <si>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</si>
  <si>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</si>
  <si>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</si>
  <si>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</si>
  <si>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</si>
  <si>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</si>
  <si>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</si>
  <si>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</si>
  <si>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</si>
  <si>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</si>
  <si>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</si>
  <si>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</si>
  <si>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</si>
  <si>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</si>
  <si>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</si>
  <si>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</si>
  <si>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</si>
  <si>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</si>
  <si>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</si>
  <si>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</si>
  <si>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</si>
  <si>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</si>
  <si>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</si>
  <si>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</si>
  <si>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</si>
  <si>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</si>
  <si>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</si>
  <si>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</si>
  <si>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</si>
  <si>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</si>
  <si>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</si>
  <si>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</si>
  <si>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</si>
  <si>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</si>
  <si>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</si>
  <si>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</si>
  <si>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</si>
  <si>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</si>
  <si>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</si>
  <si>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</si>
  <si>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</si>
  <si>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</si>
  <si>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</si>
  <si>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</si>
  <si>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</si>
  <si>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</si>
  <si>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</si>
  <si>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</si>
  <si>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</si>
  <si>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</si>
  <si>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</si>
  <si>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</si>
  <si>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</si>
  <si>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</si>
  <si>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</si>
  <si>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</si>
  <si>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</si>
  <si>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</si>
  <si>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</si>
  <si>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</si>
  <si>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</si>
  <si>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</si>
  <si>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</si>
  <si>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</si>
  <si>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</si>
  <si>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</si>
  <si>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</si>
  <si>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</si>
  <si>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</si>
  <si>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</si>
  <si>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</si>
  <si>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</si>
  <si>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</si>
  <si>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</si>
  <si>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</si>
  <si>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</si>
  <si>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</si>
  <si>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</si>
  <si>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</si>
  <si>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</si>
  <si>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</si>
  <si>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</si>
  <si>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</si>
  <si>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</si>
  <si>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</si>
  <si>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</si>
  <si>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</si>
  <si>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</si>
  <si>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</si>
  <si>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</si>
  <si>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</si>
  <si>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</si>
  <si>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</si>
  <si>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</si>
  <si>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</si>
  <si>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</si>
  <si>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</si>
  <si>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</si>
  <si>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</si>
  <si>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</si>
  <si>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</si>
  <si>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</si>
  <si>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</si>
  <si>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</si>
  <si>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</si>
  <si>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</si>
  <si>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</si>
  <si>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</si>
  <si>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</si>
  <si>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</si>
  <si>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</si>
  <si>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</si>
  <si>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</si>
  <si>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</si>
  <si>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</si>
  <si>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</si>
  <si>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</si>
  <si>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</si>
  <si>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</si>
  <si>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</si>
  <si>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</si>
  <si>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</si>
  <si>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</si>
  <si>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</si>
  <si>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</si>
  <si>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</si>
  <si>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</si>
  <si>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</si>
  <si>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</si>
  <si>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</si>
  <si>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</si>
  <si>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</si>
  <si>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</si>
  <si>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</si>
  <si>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</si>
  <si>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</si>
  <si>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</si>
  <si>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</si>
  <si>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</si>
  <si>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</si>
  <si>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</si>
  <si>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</si>
  <si>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</si>
  <si>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</si>
  <si>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</si>
  <si>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</si>
  <si>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</si>
  <si>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</si>
  <si>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</si>
  <si>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</si>
  <si>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</si>
  <si>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</si>
  <si>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</si>
  <si>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</si>
  <si>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</si>
  <si>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</si>
  <si>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</si>
  <si>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</si>
  <si>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</si>
  <si>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</si>
  <si>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</si>
  <si>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</si>
  <si>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</si>
  <si>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</si>
  <si>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</si>
  <si>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</si>
  <si>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</si>
  <si>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</si>
  <si>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</si>
  <si>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</si>
  <si>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</si>
  <si>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</si>
  <si>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</si>
  <si>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</si>
  <si>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</si>
  <si>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</si>
  <si>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</si>
  <si>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</si>
  <si>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</si>
  <si>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</si>
  <si>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</si>
  <si>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</si>
  <si>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</si>
  <si>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</si>
  <si>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</si>
  <si>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</si>
  <si>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</si>
  <si>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</si>
  <si>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</si>
  <si>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</si>
  <si>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</si>
  <si>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</si>
  <si>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</si>
  <si>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</si>
  <si>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</si>
  <si>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</si>
  <si>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</si>
  <si>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</si>
  <si>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</si>
  <si>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</si>
  <si>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</si>
  <si>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</si>
  <si>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</si>
  <si>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</si>
  <si>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</si>
  <si>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</si>
  <si>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</si>
  <si>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</si>
  <si>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</si>
  <si>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</si>
  <si>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</si>
  <si>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</si>
  <si>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</si>
  <si>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</si>
  <si>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</si>
  <si>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</si>
  <si>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</si>
  <si>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</si>
  <si>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</si>
  <si>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</si>
  <si>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</si>
  <si>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</si>
  <si>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</si>
  <si>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</si>
  <si>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</si>
  <si>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</si>
  <si>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</si>
  <si>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</si>
  <si>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</si>
  <si>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</si>
  <si>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</si>
  <si>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</si>
  <si>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</si>
  <si>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</si>
  <si>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</si>
  <si>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</si>
  <si>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</si>
  <si>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</si>
  <si>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</si>
  <si>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</si>
  <si>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</si>
  <si>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</si>
  <si>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</si>
  <si>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</si>
  <si>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</si>
  <si>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</si>
  <si>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</si>
  <si>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</si>
  <si>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</si>
  <si>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</si>
  <si>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</si>
  <si>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</si>
  <si>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</si>
  <si>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</si>
  <si>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</si>
  <si>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</si>
  <si>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</si>
  <si>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</si>
  <si>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</si>
  <si>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</si>
  <si>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</si>
  <si>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</si>
  <si>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</si>
  <si>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</si>
  <si>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</si>
  <si>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</si>
  <si>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</si>
  <si>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</si>
  <si>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</si>
  <si>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</si>
  <si>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</si>
  <si>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</si>
  <si>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</si>
  <si>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</si>
  <si>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</si>
  <si>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</si>
  <si>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</si>
  <si>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</si>
  <si>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</si>
  <si>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</si>
  <si>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</si>
  <si>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</si>
  <si>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</si>
  <si>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</si>
  <si>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</si>
  <si>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</si>
  <si>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</si>
  <si>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</si>
  <si>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</si>
  <si>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</si>
  <si>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</si>
  <si>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</si>
  <si>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</si>
  <si>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</si>
  <si>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</si>
  <si>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</si>
  <si>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</si>
  <si>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</si>
  <si>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</si>
  <si>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</si>
  <si>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</si>
  <si>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</si>
  <si>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</si>
  <si>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</si>
  <si>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</si>
  <si>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</si>
  <si>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</si>
  <si>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</si>
  <si>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</si>
  <si>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</si>
  <si>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</si>
  <si>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</si>
  <si>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</si>
  <si>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</si>
  <si>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</si>
  <si>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</si>
  <si>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</si>
  <si>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</si>
  <si>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</si>
  <si>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</si>
  <si>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</si>
  <si>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</si>
  <si>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</si>
  <si>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</si>
  <si>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</si>
  <si>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</si>
  <si>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</si>
  <si>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</si>
  <si>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</si>
  <si>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</si>
  <si>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</si>
  <si>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</si>
  <si>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</si>
  <si>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</si>
  <si>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</si>
  <si>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</si>
  <si>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</si>
  <si>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</si>
  <si>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</si>
  <si>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</si>
  <si>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</si>
  <si>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</si>
  <si>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</si>
  <si>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</si>
  <si>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</si>
  <si>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</si>
  <si>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</si>
  <si>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</si>
  <si>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</si>
  <si>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</si>
  <si>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</si>
  <si>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</si>
  <si>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</si>
  <si>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</si>
  <si>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</si>
  <si>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</si>
  <si>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</si>
  <si>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</si>
  <si>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</si>
  <si>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</si>
  <si>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</si>
  <si>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</si>
  <si>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</si>
  <si>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</si>
  <si>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</si>
  <si>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</si>
  <si>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</si>
  <si>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</si>
  <si>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</si>
  <si>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</si>
  <si>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</si>
  <si>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</si>
  <si>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</si>
  <si>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</si>
  <si>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</si>
  <si>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</si>
  <si>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</si>
  <si>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</si>
  <si>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</si>
  <si>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</si>
  <si>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</si>
  <si>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</si>
  <si>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</si>
  <si>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</si>
  <si>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</si>
  <si>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</si>
  <si>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</si>
  <si>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</si>
  <si>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</si>
  <si>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</si>
  <si>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</si>
  <si>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</si>
  <si>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</si>
  <si>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</si>
  <si>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</si>
  <si>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</si>
  <si>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</si>
  <si>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</si>
  <si>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</si>
  <si>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</si>
  <si>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</si>
  <si>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</si>
  <si>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</si>
  <si>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</si>
  <si>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</si>
  <si>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</si>
  <si>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</si>
  <si>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</si>
  <si>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</si>
  <si>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</si>
  <si>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</si>
  <si>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</si>
  <si>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</si>
  <si>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</si>
  <si>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</si>
  <si>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</si>
  <si>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</si>
  <si>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</si>
  <si>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</si>
  <si>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</si>
  <si>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</si>
  <si>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</si>
  <si>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</si>
  <si>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</si>
  <si>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</si>
  <si>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</si>
  <si>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</si>
  <si>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</si>
  <si>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</si>
  <si>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</si>
  <si>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</si>
  <si>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</si>
  <si>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</si>
  <si>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</si>
  <si>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</si>
  <si>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</si>
  <si>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</si>
  <si>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</si>
  <si>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</si>
  <si>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</si>
  <si>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</si>
  <si>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</si>
  <si>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</si>
  <si>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</si>
  <si>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</si>
  <si>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</si>
  <si>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</si>
  <si>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</si>
  <si>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</si>
  <si>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</si>
  <si>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</si>
  <si>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</si>
  <si>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</si>
  <si>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</si>
  <si>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</si>
  <si>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</si>
  <si>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</si>
  <si>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</si>
  <si>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</si>
  <si>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</si>
  <si>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</si>
  <si>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</si>
  <si>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</si>
  <si>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</si>
  <si>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</si>
  <si>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</si>
  <si>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</si>
  <si>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</si>
  <si>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</si>
  <si>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</si>
  <si>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</si>
  <si>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</si>
  <si>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</si>
  <si>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</si>
  <si>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</si>
  <si>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</si>
  <si>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</si>
  <si>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</si>
  <si>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</si>
  <si>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</si>
  <si>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</si>
  <si>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</si>
  <si>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</si>
  <si>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</si>
  <si>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</si>
  <si>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</si>
  <si>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</si>
  <si>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</si>
  <si>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</si>
  <si>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</si>
  <si>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</si>
  <si>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</si>
  <si>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</si>
  <si>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</si>
  <si>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</si>
  <si>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</si>
  <si>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</si>
  <si>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</si>
  <si>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</si>
  <si>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</si>
  <si>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</si>
  <si>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</si>
  <si>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</si>
  <si>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</si>
  <si>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</si>
  <si>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</si>
  <si>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</si>
  <si>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</si>
  <si>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</si>
  <si>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</si>
  <si>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</si>
  <si>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</si>
  <si>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</si>
  <si>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</si>
  <si>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</si>
  <si>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</si>
  <si>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</si>
  <si>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</si>
  <si>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</si>
  <si>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</si>
  <si>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</si>
  <si>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</si>
  <si>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</si>
  <si>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</si>
  <si>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</si>
  <si>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</si>
  <si>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</si>
  <si>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</si>
  <si>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</si>
  <si>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</si>
  <si>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</si>
  <si>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</si>
  <si>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</si>
  <si>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</si>
  <si>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</si>
  <si>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</si>
  <si>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</si>
  <si>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</si>
  <si>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</si>
  <si>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</si>
  <si>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</si>
  <si>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</si>
  <si>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</si>
  <si>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</si>
  <si>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</si>
  <si>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</si>
  <si>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</si>
  <si>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</si>
  <si>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</si>
  <si>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</si>
  <si>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</si>
  <si>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</si>
  <si>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</si>
  <si>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</si>
  <si>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</si>
  <si>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</si>
  <si>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</si>
  <si>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</si>
  <si>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</si>
  <si>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</si>
  <si>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</si>
  <si>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</si>
  <si>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</si>
  <si>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</si>
  <si>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</si>
  <si>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</si>
  <si>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</si>
  <si>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</si>
  <si>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</si>
  <si>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</si>
  <si>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</si>
  <si>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</si>
  <si>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</si>
  <si>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</si>
  <si>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</si>
  <si>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</si>
  <si>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</si>
  <si>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</si>
  <si>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</si>
  <si>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</si>
  <si>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</si>
  <si>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</si>
  <si>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</si>
  <si>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</si>
  <si>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</si>
  <si>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</si>
  <si>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</si>
  <si>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</si>
  <si>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</si>
  <si>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</si>
  <si>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</si>
  <si>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</si>
  <si>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</si>
  <si>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</si>
  <si>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</si>
  <si>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</si>
  <si>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</si>
  <si>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</si>
  <si>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</si>
  <si>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</si>
  <si>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</si>
  <si>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</si>
  <si>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</si>
  <si>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</si>
  <si>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</si>
  <si>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</si>
  <si>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</si>
  <si>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</si>
  <si>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</si>
  <si>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</si>
  <si>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</si>
  <si>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</si>
  <si>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</si>
  <si>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</si>
  <si>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</si>
  <si>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</si>
  <si>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</si>
  <si>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</si>
  <si>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</si>
  <si>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</si>
  <si>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</si>
  <si>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</si>
  <si>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</si>
  <si>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</si>
  <si>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</si>
  <si>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</si>
  <si>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</si>
  <si>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</si>
  <si>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</si>
  <si>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</si>
  <si>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</si>
  <si>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</si>
  <si>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</si>
  <si>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</si>
  <si>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</si>
  <si>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</si>
  <si>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</si>
  <si>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</si>
  <si>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</si>
  <si>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</si>
  <si>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</si>
  <si>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</si>
  <si>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</si>
  <si>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</si>
  <si>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</si>
  <si>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</si>
  <si>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</si>
  <si>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</si>
  <si>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</si>
  <si>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</si>
  <si>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</si>
  <si>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</si>
  <si>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</si>
  <si>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</si>
  <si>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</si>
  <si>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</si>
  <si>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</si>
  <si>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</si>
  <si>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</si>
  <si>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</si>
  <si>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</si>
  <si>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</si>
  <si>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</si>
  <si>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</si>
  <si>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</si>
  <si>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</si>
  <si>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</si>
  <si>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</si>
  <si>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</si>
  <si>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</si>
  <si>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</si>
  <si>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</si>
  <si>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</si>
  <si>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</si>
  <si>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</si>
  <si>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</si>
  <si>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</si>
  <si>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</si>
  <si>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</si>
  <si>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</si>
  <si>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</si>
  <si>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</si>
  <si>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</si>
  <si>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</si>
  <si>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</si>
  <si>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</si>
  <si>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</si>
  <si>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</si>
  <si>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</si>
  <si>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</si>
  <si>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</si>
  <si>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</si>
  <si>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</si>
  <si>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</si>
  <si>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</si>
  <si>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</si>
  <si>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</si>
  <si>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</si>
  <si>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</si>
  <si>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</si>
  <si>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</si>
  <si>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</si>
  <si>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</si>
  <si>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</si>
  <si>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</si>
  <si>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</si>
  <si>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</si>
  <si>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</si>
  <si>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</si>
  <si>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</si>
  <si>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</si>
  <si>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</si>
  <si>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</si>
  <si>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</si>
  <si>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</si>
  <si>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</si>
  <si>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</si>
  <si>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</si>
  <si>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</si>
  <si>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</si>
  <si>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</si>
  <si>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</si>
  <si>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</si>
  <si>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</si>
  <si>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</si>
  <si>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</si>
  <si>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</si>
  <si>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</si>
  <si>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</si>
  <si>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</si>
  <si>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</si>
  <si>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</si>
  <si>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</si>
  <si>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</si>
  <si>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</si>
  <si>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</si>
  <si>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</si>
  <si>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</si>
  <si>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</si>
  <si>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</si>
  <si>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</si>
  <si>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</si>
  <si>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</si>
  <si>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</si>
  <si>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</si>
  <si>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</si>
  <si>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</si>
  <si>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</si>
  <si>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</si>
  <si>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</si>
  <si>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</si>
  <si>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</si>
  <si>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</si>
  <si>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</si>
  <si>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</si>
  <si>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</si>
  <si>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</si>
  <si>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</si>
  <si>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</si>
  <si>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</si>
  <si>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</si>
  <si>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</si>
  <si>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</si>
  <si>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</si>
  <si>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</si>
  <si>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</si>
  <si>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</si>
  <si>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</si>
  <si>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</si>
  <si>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</si>
  <si>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</si>
  <si>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</si>
  <si>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</si>
  <si>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</si>
  <si>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</si>
  <si>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</si>
  <si>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</si>
  <si>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</si>
  <si>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</si>
  <si>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</si>
  <si>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</si>
  <si>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</si>
  <si>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</si>
  <si>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</si>
  <si>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</si>
  <si>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</si>
  <si>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</si>
  <si>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</si>
  <si>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</si>
  <si>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</si>
  <si>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</si>
  <si>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</si>
  <si>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</si>
  <si>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</si>
  <si>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</si>
  <si>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</si>
  <si>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</si>
  <si>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</si>
  <si>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</si>
  <si>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</si>
  <si>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</si>
  <si>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</si>
  <si>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</si>
  <si>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</si>
  <si>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</si>
  <si>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</si>
  <si>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</si>
  <si>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</si>
  <si>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</si>
  <si>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</si>
  <si>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</si>
  <si>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</si>
  <si>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</si>
  <si>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</si>
  <si>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</si>
  <si>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</si>
  <si>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</si>
  <si>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</si>
  <si>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</si>
  <si>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</si>
  <si>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</si>
  <si>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</si>
  <si>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</si>
  <si>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</si>
  <si>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</si>
  <si>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</si>
  <si>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</si>
  <si>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</si>
  <si>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</si>
  <si>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</si>
  <si>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</si>
  <si>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</si>
  <si>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</si>
  <si>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</si>
  <si>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</si>
  <si>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</si>
  <si>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</si>
  <si>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</si>
  <si>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</si>
  <si>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</si>
  <si>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</si>
  <si>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</si>
  <si>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</si>
  <si>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</si>
  <si>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</si>
  <si>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</si>
  <si>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</si>
  <si>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</si>
  <si>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</si>
  <si>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</si>
  <si>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</si>
  <si>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</si>
  <si>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</si>
  <si>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</si>
  <si>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</si>
  <si>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</si>
  <si>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</si>
  <si>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</si>
  <si>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</si>
  <si>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</si>
  <si>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</si>
  <si>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</si>
  <si>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</si>
  <si>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</si>
  <si>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</si>
  <si>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</si>
  <si>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</si>
  <si>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</si>
  <si>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</si>
  <si>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</si>
  <si>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</si>
  <si>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</si>
  <si>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</si>
  <si>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</si>
  <si>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</si>
  <si>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</si>
  <si>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</si>
  <si>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</si>
  <si>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</si>
  <si>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</si>
  <si>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</si>
  <si>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</si>
  <si>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</si>
  <si>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</si>
  <si>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</si>
  <si>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</si>
  <si>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</si>
  <si>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</si>
  <si>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</si>
  <si>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</si>
  <si>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</si>
  <si>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</si>
  <si>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</si>
  <si>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</si>
  <si>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</si>
  <si>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</si>
  <si>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</si>
  <si>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</si>
  <si>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</si>
  <si>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</si>
  <si>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</si>
  <si>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</si>
  <si>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</si>
  <si>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</si>
  <si>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</si>
  <si>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</si>
  <si>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</si>
  <si>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</si>
  <si>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</si>
  <si>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</si>
  <si>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</si>
  <si>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</si>
  <si>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</si>
  <si>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</si>
  <si>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</si>
  <si>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</si>
  <si>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</si>
  <si>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</si>
  <si>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</si>
  <si>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</si>
  <si>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</si>
  <si>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</si>
  <si>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</si>
  <si>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</si>
  <si>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</si>
  <si>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</si>
  <si>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</si>
  <si>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</si>
  <si>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</si>
  <si>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</si>
  <si>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</si>
  <si>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</si>
  <si>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</si>
  <si>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</si>
  <si>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</si>
  <si>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</si>
  <si>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</si>
  <si>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</si>
  <si>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</si>
  <si>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</si>
  <si>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</si>
  <si>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</si>
  <si>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</si>
  <si>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</si>
  <si>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</si>
  <si>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</si>
  <si>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</si>
  <si>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</si>
  <si>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</si>
  <si>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</si>
  <si>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</si>
  <si>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</si>
  <si>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</si>
  <si>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</si>
  <si>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</si>
  <si>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</si>
  <si>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</si>
  <si>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</si>
  <si>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</si>
  <si>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</si>
  <si>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</si>
  <si>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</si>
  <si>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</si>
  <si>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</si>
  <si>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</si>
  <si>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</si>
  <si>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</si>
  <si>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</si>
  <si>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</si>
  <si>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</si>
  <si>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</si>
  <si>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</si>
  <si>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</si>
  <si>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</si>
  <si>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</si>
  <si>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</si>
  <si>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</si>
  <si>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</si>
  <si>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</si>
  <si>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</si>
  <si>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</si>
  <si>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</si>
  <si>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</si>
  <si>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</si>
  <si>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</si>
  <si>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</si>
  <si>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</si>
  <si>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</si>
  <si>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</si>
  <si>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</si>
  <si>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</si>
  <si>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</si>
  <si>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</si>
  <si>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</si>
  <si>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</si>
  <si>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</si>
  <si>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</si>
  <si>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</si>
  <si>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</si>
  <si>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</si>
  <si>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</si>
  <si>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</si>
  <si>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</si>
  <si>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</si>
  <si>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</si>
  <si>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</si>
  <si>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</si>
  <si>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</si>
  <si>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</si>
  <si>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</si>
  <si>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</si>
  <si>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</si>
  <si>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</si>
  <si>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</si>
  <si>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</si>
  <si>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</si>
  <si>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</si>
  <si>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</si>
  <si>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</si>
  <si>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</si>
  <si>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</si>
  <si>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</si>
  <si>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</si>
  <si>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</si>
  <si>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</si>
  <si>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</si>
  <si>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</si>
  <si>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</si>
  <si>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</si>
  <si>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</si>
  <si>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</si>
  <si>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</si>
  <si>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</si>
  <si>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</si>
  <si>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</si>
  <si>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</si>
  <si>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</si>
  <si>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</si>
  <si>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</si>
  <si>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</si>
  <si>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</si>
  <si>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</si>
  <si>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</si>
  <si>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</si>
  <si>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</si>
  <si>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</si>
  <si>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</si>
  <si>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</si>
  <si>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</si>
  <si>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</si>
  <si>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</si>
  <si>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</si>
  <si>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</si>
  <si>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</si>
  <si>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</si>
  <si>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</si>
  <si>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</si>
  <si>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</si>
  <si>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</si>
  <si>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</si>
  <si>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</si>
  <si>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</si>
  <si>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</si>
  <si>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</si>
  <si>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</si>
  <si>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</si>
  <si>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</si>
  <si>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</si>
  <si>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</si>
  <si>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</si>
  <si>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</si>
  <si>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</si>
  <si>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</si>
  <si>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</si>
  <si>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</si>
  <si>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</si>
  <si>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</si>
  <si>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</si>
  <si>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</si>
  <si>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</si>
  <si>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</si>
  <si>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</si>
  <si>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</si>
  <si>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</si>
  <si>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</si>
  <si>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</si>
  <si>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</si>
  <si>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</si>
  <si>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</si>
  <si>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</si>
  <si>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</si>
  <si>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</si>
  <si>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</si>
  <si>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</si>
  <si>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</si>
  <si>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</si>
  <si>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</si>
  <si>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</si>
  <si>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</si>
  <si>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</si>
  <si>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</si>
  <si>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</si>
  <si>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</si>
  <si>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</si>
  <si>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</si>
  <si>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</si>
  <si>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</si>
  <si>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</si>
  <si>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</si>
  <si>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</si>
  <si>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</si>
  <si>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</si>
  <si>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</si>
  <si>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</si>
  <si>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</si>
  <si>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</si>
  <si>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</si>
  <si>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</si>
  <si>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</si>
  <si>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</si>
  <si>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</si>
  <si>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</si>
  <si>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</si>
  <si>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</si>
  <si>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</si>
  <si>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</si>
  <si>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</si>
  <si>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</si>
  <si>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</si>
  <si>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</si>
  <si>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</si>
  <si>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</si>
  <si>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</si>
  <si>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</si>
  <si>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</si>
  <si>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</si>
  <si>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</si>
  <si>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</si>
  <si>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</si>
  <si>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</si>
  <si>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</si>
  <si>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</si>
  <si>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</si>
  <si>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</si>
  <si>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</si>
  <si>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</si>
  <si>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</si>
  <si>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</si>
  <si>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</si>
  <si>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</si>
  <si>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</si>
  <si>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</si>
  <si>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</si>
  <si>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</si>
  <si>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</si>
  <si>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</si>
  <si>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</si>
  <si>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</si>
  <si>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</si>
  <si>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</si>
  <si>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</si>
  <si>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</si>
  <si>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</si>
  <si>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</si>
  <si>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</si>
  <si>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</si>
  <si>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</si>
  <si>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</si>
  <si>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</si>
  <si>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</si>
  <si>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</si>
  <si>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</si>
  <si>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</si>
  <si>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</si>
  <si>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</si>
  <si>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</si>
  <si>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</si>
  <si>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</si>
  <si>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</si>
  <si>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</si>
  <si>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</si>
  <si>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</si>
  <si>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</si>
  <si>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</si>
  <si>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</si>
  <si>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</si>
  <si>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</si>
  <si>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</si>
  <si>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</si>
  <si>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</si>
  <si>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</si>
  <si>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</si>
  <si>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</si>
  <si>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</si>
  <si>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</si>
  <si>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</si>
  <si>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</si>
  <si>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</si>
  <si>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</si>
  <si>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</si>
  <si>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</si>
  <si>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</si>
  <si>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</si>
  <si>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</si>
  <si>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</si>
  <si>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</si>
  <si>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</si>
  <si>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</si>
  <si>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</si>
  <si>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</si>
  <si>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</si>
  <si>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</si>
  <si>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</si>
  <si>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</si>
  <si>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</si>
  <si>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</si>
  <si>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</si>
  <si>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</si>
  <si>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</si>
  <si>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</si>
  <si>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</si>
  <si>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</si>
  <si>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</si>
  <si>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</si>
  <si>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</si>
  <si>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</si>
  <si>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</si>
  <si>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</si>
  <si>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</si>
  <si>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</si>
  <si>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</si>
  <si>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</si>
  <si>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</si>
  <si>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</si>
  <si>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</si>
  <si>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</si>
  <si>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</si>
  <si>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</si>
  <si>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</si>
  <si>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</si>
  <si>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</si>
  <si>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</si>
  <si>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</si>
  <si>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</si>
  <si>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</si>
  <si>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</si>
  <si>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</si>
  <si>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</si>
  <si>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</si>
  <si>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</si>
  <si>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</si>
  <si>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</si>
  <si>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</si>
  <si>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</si>
  <si>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</si>
  <si>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</si>
  <si>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</si>
  <si>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</si>
  <si>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</si>
  <si>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</si>
  <si>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</si>
  <si>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</si>
  <si>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</si>
  <si>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</si>
  <si>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</si>
  <si>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</si>
  <si>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</si>
  <si>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</si>
  <si>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</si>
  <si>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</si>
  <si>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</si>
  <si>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</si>
  <si>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</si>
  <si>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</si>
  <si>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</si>
  <si>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</si>
  <si>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</si>
  <si>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</si>
  <si>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</si>
  <si>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</si>
  <si>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</si>
  <si>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</si>
  <si>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</si>
  <si>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</si>
  <si>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</si>
  <si>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</si>
  <si>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</si>
  <si>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</si>
  <si>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</si>
  <si>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</si>
  <si>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</si>
  <si>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</si>
  <si>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</si>
  <si>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</si>
  <si>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</si>
  <si>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</si>
  <si>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</si>
  <si>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</si>
  <si>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</si>
  <si>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</si>
  <si>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</si>
  <si>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</si>
  <si>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</si>
  <si>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</si>
  <si>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</si>
  <si>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</si>
  <si>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</si>
  <si>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</si>
  <si>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</si>
  <si>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</si>
  <si>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</si>
  <si>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</si>
  <si>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</si>
  <si>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</si>
  <si>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</si>
  <si>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</si>
  <si>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</si>
  <si>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</si>
  <si>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</si>
  <si>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</si>
  <si>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</si>
  <si>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</si>
  <si>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</si>
  <si>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</si>
  <si>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</si>
  <si>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</si>
  <si>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</si>
  <si>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</si>
  <si>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</si>
  <si>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</si>
  <si>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</si>
  <si>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</si>
  <si>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</si>
  <si>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</si>
  <si>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</si>
  <si>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</si>
  <si>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</si>
  <si>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</si>
  <si>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</si>
  <si>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</si>
  <si>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</si>
  <si>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</si>
  <si>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</si>
  <si>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</si>
  <si>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</si>
  <si>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</si>
  <si>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</si>
  <si>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</si>
  <si>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</si>
  <si>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</si>
  <si>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</si>
  <si>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</si>
  <si>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</si>
  <si>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</si>
  <si>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</si>
  <si>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</si>
  <si>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</si>
  <si>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</si>
  <si>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</si>
  <si>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</si>
  <si>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</si>
  <si>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</si>
  <si>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</si>
  <si>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</si>
  <si>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</si>
  <si>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</si>
  <si>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</si>
  <si>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</si>
  <si>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</si>
  <si>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</si>
  <si>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</si>
  <si>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</si>
  <si>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</si>
  <si>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</si>
  <si>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</si>
  <si>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</si>
  <si>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</si>
  <si>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</si>
  <si>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</si>
  <si>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</si>
  <si>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</si>
  <si>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</si>
  <si>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</si>
  <si>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</si>
  <si>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</si>
  <si>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</si>
  <si>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</si>
  <si>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</si>
  <si>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</si>
  <si>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</si>
  <si>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</si>
  <si>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</si>
  <si>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</si>
  <si>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</si>
  <si>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</si>
  <si>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</si>
  <si>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</si>
  <si>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</si>
  <si>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</si>
  <si>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</si>
  <si>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</si>
  <si>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</si>
  <si>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</si>
  <si>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</si>
  <si>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</si>
  <si>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</si>
  <si>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</si>
  <si>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</si>
  <si>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</si>
  <si>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</si>
  <si>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</si>
  <si>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</si>
  <si>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</si>
  <si>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</si>
  <si>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</si>
  <si>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</si>
  <si>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</si>
  <si>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</si>
  <si>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</si>
  <si>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</si>
  <si>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</si>
  <si>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</si>
  <si>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</si>
  <si>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</si>
  <si>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</si>
  <si>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</si>
  <si>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</si>
  <si>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</si>
  <si>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</si>
  <si>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</si>
  <si>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</si>
  <si>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</si>
  <si>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</si>
  <si>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</si>
  <si>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</si>
  <si>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</si>
  <si>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</si>
  <si>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</si>
  <si>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</si>
  <si>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</si>
  <si>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</si>
  <si>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</si>
  <si>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</si>
  <si>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</si>
  <si>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</si>
  <si>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</si>
  <si>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</si>
  <si>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</si>
  <si>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</si>
  <si>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</si>
  <si>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</si>
  <si>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</si>
  <si>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</si>
  <si>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</si>
  <si>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</si>
  <si>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</si>
  <si>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</si>
  <si>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</si>
  <si>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</si>
  <si>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</si>
  <si>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</si>
  <si>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</si>
  <si>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</si>
  <si>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</si>
  <si>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</si>
  <si>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</si>
  <si>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</si>
  <si>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</si>
  <si>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</si>
  <si>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</si>
  <si>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</si>
  <si>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</si>
  <si>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</si>
  <si>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</si>
  <si>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</si>
  <si>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</si>
  <si>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</si>
  <si>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</si>
  <si>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</si>
  <si>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</si>
  <si>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</si>
  <si>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</si>
  <si>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</si>
  <si>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</si>
  <si>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</si>
  <si>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</si>
  <si>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</si>
  <si>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</si>
  <si>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</si>
  <si>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</si>
  <si>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</si>
  <si>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</si>
  <si>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</si>
  <si>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</si>
  <si>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</si>
  <si>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</si>
  <si>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</si>
  <si>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</si>
  <si>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</si>
  <si>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</si>
  <si>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</si>
  <si>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</si>
  <si>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</si>
  <si>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</si>
  <si>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</si>
  <si>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</si>
  <si>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</si>
  <si>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</si>
  <si>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</si>
  <si>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</si>
  <si>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</si>
  <si>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</si>
  <si>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</si>
  <si>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</si>
  <si>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</si>
  <si>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</si>
  <si>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</si>
  <si>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</si>
  <si>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</si>
  <si>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</si>
  <si>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</si>
  <si>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</si>
  <si>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</si>
  <si>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</si>
  <si>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</si>
  <si>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</si>
  <si>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</si>
  <si>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</si>
  <si>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</si>
  <si>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</si>
  <si>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</si>
  <si>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</si>
  <si>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</si>
  <si>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</si>
  <si>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</si>
  <si>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</si>
  <si>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</si>
  <si>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</si>
  <si>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</si>
  <si>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</si>
  <si>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</si>
  <si>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</si>
  <si>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</si>
  <si>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</si>
  <si>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</si>
  <si>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</si>
  <si>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</si>
  <si>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</si>
  <si>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</si>
  <si>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</si>
  <si>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</si>
  <si>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</si>
  <si>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</si>
  <si>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</si>
  <si>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</si>
  <si>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</si>
  <si>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</si>
  <si>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</si>
  <si>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</si>
  <si>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</si>
  <si>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</si>
  <si>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</si>
  <si>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</si>
  <si>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</si>
  <si>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</si>
  <si>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</si>
  <si>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</si>
  <si>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</si>
  <si>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</si>
  <si>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</si>
  <si>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</si>
  <si>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</si>
  <si>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</si>
  <si>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</si>
  <si>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</si>
  <si>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</si>
  <si>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</si>
  <si>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</si>
  <si>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</si>
  <si>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</si>
  <si>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</si>
  <si>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</si>
  <si>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</si>
  <si>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</si>
  <si>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</si>
  <si>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</si>
  <si>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</si>
  <si>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</si>
  <si>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</si>
  <si>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</si>
  <si>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</si>
  <si>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</si>
  <si>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</si>
  <si>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</si>
  <si>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</si>
  <si>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</si>
  <si>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</si>
  <si>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</si>
  <si>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</si>
  <si>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</si>
  <si>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</si>
  <si>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</si>
  <si>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</si>
  <si>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</si>
  <si>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</si>
  <si>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</si>
  <si>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</si>
  <si>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</si>
  <si>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</si>
  <si>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</si>
  <si>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</si>
  <si>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</si>
  <si>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</si>
  <si>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</si>
  <si>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</si>
  <si>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</si>
  <si>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</si>
  <si>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</si>
  <si>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</si>
  <si>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</si>
  <si>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</si>
  <si>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</si>
  <si>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</si>
  <si>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</si>
  <si>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</si>
  <si>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</si>
  <si>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</si>
  <si>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</si>
  <si>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</si>
  <si>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</si>
  <si>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</si>
  <si>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</si>
  <si>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</si>
  <si>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</si>
  <si>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</si>
  <si>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</si>
  <si>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</si>
  <si>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</si>
  <si>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</si>
  <si>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</si>
  <si>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</si>
  <si>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</si>
  <si>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</si>
  <si>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</si>
  <si>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</si>
  <si>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</si>
  <si>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</si>
  <si>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</si>
  <si>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</si>
  <si>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</si>
  <si>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</si>
  <si>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</si>
  <si>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</si>
  <si>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</si>
  <si>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</si>
  <si>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</si>
  <si>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</si>
  <si>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</si>
  <si>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</si>
  <si>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</si>
  <si>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</si>
  <si>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</si>
  <si>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</si>
  <si>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</si>
  <si>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</si>
  <si>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</si>
  <si>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</si>
  <si>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</si>
  <si>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</si>
  <si>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</si>
  <si>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</si>
  <si>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</si>
  <si>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</si>
  <si>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</si>
  <si>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</si>
  <si>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</si>
  <si>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</si>
  <si>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</si>
  <si>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</si>
  <si>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</si>
  <si>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</si>
  <si>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</si>
  <si>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</si>
  <si>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</si>
  <si>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</si>
  <si>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</si>
  <si>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</si>
  <si>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</si>
  <si>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</si>
  <si>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</si>
  <si>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</si>
  <si>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</si>
  <si>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</si>
  <si>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</si>
  <si>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</si>
  <si>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</si>
  <si>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</si>
  <si>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</si>
  <si>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</si>
  <si>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</si>
  <si>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</si>
  <si>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</si>
  <si>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</si>
  <si>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</si>
  <si>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</si>
  <si>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</si>
  <si>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</si>
  <si>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</si>
  <si>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</si>
  <si>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</si>
  <si>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</si>
  <si>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</si>
  <si>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</si>
  <si>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</si>
  <si>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</si>
  <si>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</si>
  <si>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</si>
  <si>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</si>
  <si>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</si>
  <si>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</si>
  <si>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</si>
  <si>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</si>
  <si>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</si>
  <si>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</si>
  <si>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</si>
  <si>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</si>
  <si>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</si>
  <si>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</si>
  <si>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</si>
  <si>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</si>
  <si>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</si>
  <si>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</si>
  <si>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</si>
  <si>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</si>
  <si>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</si>
  <si>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</si>
  <si>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</si>
  <si>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</si>
  <si>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</si>
  <si>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</si>
  <si>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</si>
  <si>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</si>
  <si>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</si>
  <si>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</si>
  <si>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</si>
  <si>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</si>
  <si>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</si>
  <si>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</si>
  <si>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</si>
  <si>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</si>
  <si>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</si>
  <si>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</si>
  <si>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</si>
  <si>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</si>
  <si>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</si>
  <si>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</si>
  <si>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</si>
  <si>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</si>
  <si>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</si>
  <si>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</si>
  <si>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</si>
  <si>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</si>
  <si>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</si>
  <si>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</si>
  <si>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</si>
  <si>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</si>
  <si>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</si>
  <si>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</si>
  <si>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</si>
  <si>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</si>
  <si>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</si>
  <si>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</si>
  <si>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</si>
  <si>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</si>
  <si>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</si>
  <si>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</si>
  <si>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</si>
  <si>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</si>
  <si>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</si>
  <si>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</si>
  <si>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</si>
  <si>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</si>
  <si>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</si>
  <si>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</si>
  <si>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</si>
  <si>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</si>
  <si>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</si>
  <si>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</si>
  <si>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</si>
  <si>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</si>
  <si>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</si>
  <si>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</si>
  <si>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</si>
  <si>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</si>
  <si>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</si>
  <si>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</si>
  <si>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</si>
  <si>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</si>
  <si>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</si>
  <si>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</si>
  <si>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</si>
  <si>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</si>
  <si>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</si>
  <si>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</si>
  <si>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</si>
  <si>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</si>
  <si>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</si>
  <si>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</si>
  <si>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</si>
  <si>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</si>
  <si>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</si>
  <si>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</si>
  <si>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</si>
  <si>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</si>
  <si>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</si>
  <si>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</si>
  <si>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</si>
  <si>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</si>
  <si>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</si>
  <si>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</si>
  <si>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</si>
  <si>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</si>
  <si>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</si>
  <si>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</si>
  <si>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</si>
  <si>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</si>
  <si>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</si>
  <si>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</si>
  <si>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</si>
  <si>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</si>
  <si>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</si>
  <si>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</si>
  <si>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</si>
  <si>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</si>
  <si>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</si>
  <si>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</si>
  <si>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</si>
  <si>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</si>
  <si>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</si>
  <si>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</si>
  <si>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</si>
  <si>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</si>
  <si>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</si>
  <si>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</si>
  <si>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</si>
  <si>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</si>
  <si>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</si>
  <si>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</si>
  <si>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</si>
  <si>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</si>
  <si>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</si>
  <si>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</si>
  <si>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</si>
  <si>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</si>
  <si>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</si>
  <si>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</si>
  <si>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</si>
  <si>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</si>
  <si>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</si>
  <si>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</si>
  <si>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</si>
  <si>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</si>
  <si>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</si>
  <si>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</si>
  <si>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</si>
  <si>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</si>
  <si>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</si>
  <si>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</si>
  <si>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</si>
  <si>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</si>
  <si>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</si>
  <si>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</si>
  <si>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</si>
  <si>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</si>
  <si>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</si>
  <si>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</si>
  <si>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</si>
  <si>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</si>
  <si>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</si>
  <si>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</si>
  <si>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</si>
  <si>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</si>
  <si>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</si>
  <si>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</si>
  <si>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</si>
  <si>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</si>
  <si>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</si>
  <si>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</si>
  <si>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</si>
  <si>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</si>
  <si>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</si>
  <si>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</si>
  <si>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</si>
  <si>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</si>
  <si>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</si>
  <si>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</si>
  <si>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</si>
  <si>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</si>
  <si>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</si>
  <si>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</si>
  <si>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</si>
  <si>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</si>
  <si>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</si>
  <si>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</si>
  <si>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</si>
  <si>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</si>
  <si>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</si>
  <si>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</si>
  <si>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</si>
  <si>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</si>
  <si>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</si>
  <si>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</si>
  <si>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</si>
  <si>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</si>
  <si>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</si>
  <si>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</si>
  <si>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</si>
  <si>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</si>
  <si>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</si>
  <si>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</si>
  <si>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</si>
  <si>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</si>
  <si>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</si>
  <si>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</si>
  <si>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</si>
  <si>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</si>
  <si>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</si>
  <si>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</si>
  <si>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</si>
  <si>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</si>
  <si>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</si>
  <si>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</si>
  <si>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</si>
  <si>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</si>
  <si>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</si>
  <si>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</si>
  <si>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</si>
  <si>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</si>
  <si>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</si>
  <si>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</si>
  <si>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</si>
  <si>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</si>
  <si>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</si>
  <si>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</si>
  <si>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</si>
  <si>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</si>
  <si>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</si>
  <si>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</si>
  <si>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</si>
  <si>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</si>
  <si>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</si>
  <si>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</si>
  <si>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</si>
  <si>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</si>
  <si>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</si>
  <si>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</si>
  <si>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</si>
  <si>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</si>
  <si>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</si>
  <si>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</si>
  <si>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</si>
  <si>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</si>
  <si>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</si>
  <si>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</si>
  <si>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</si>
  <si>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</si>
  <si>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</si>
  <si>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</si>
  <si>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</si>
  <si>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</si>
  <si>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</si>
  <si>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</si>
  <si>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</si>
  <si>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</si>
  <si>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</si>
  <si>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</si>
  <si>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</si>
  <si>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</si>
  <si>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</si>
  <si>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</si>
  <si>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</si>
  <si>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</si>
  <si>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</si>
  <si>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</si>
  <si>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</si>
  <si>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</si>
  <si>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</si>
  <si>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</si>
  <si>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</si>
  <si>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</si>
  <si>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</si>
  <si>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</si>
  <si>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</si>
  <si>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</si>
  <si>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</si>
  <si>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</si>
  <si>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</si>
  <si>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</si>
  <si>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</si>
  <si>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</si>
  <si>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</si>
  <si>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</si>
  <si>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</si>
  <si>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</si>
  <si>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</si>
  <si>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</si>
  <si>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</si>
  <si>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</si>
  <si>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</si>
  <si>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</si>
  <si>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</si>
  <si>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</si>
  <si>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</si>
  <si>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</si>
  <si>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</si>
  <si>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</si>
  <si>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</si>
  <si>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</si>
  <si>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</si>
  <si>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</si>
  <si>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</si>
  <si>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</si>
  <si>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</si>
  <si>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</si>
  <si>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</si>
  <si>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</si>
  <si>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</si>
  <si>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</si>
  <si>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</si>
  <si>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</si>
  <si>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</si>
  <si>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</si>
  <si>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</si>
  <si>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</si>
  <si>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</si>
  <si>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</si>
  <si>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</si>
  <si>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</si>
  <si>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</si>
  <si>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</si>
  <si>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</si>
  <si>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</si>
  <si>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</si>
  <si>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</si>
  <si>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</si>
  <si>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</si>
  <si>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</si>
  <si>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</si>
  <si>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</si>
  <si>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</si>
  <si>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</si>
  <si>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</si>
  <si>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</si>
  <si>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</si>
  <si>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</si>
  <si>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</si>
  <si>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</si>
  <si>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</si>
  <si>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</si>
  <si>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</si>
  <si>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</si>
  <si>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</si>
  <si>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</si>
  <si>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</si>
  <si>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</si>
  <si>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</si>
  <si>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</si>
  <si>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</si>
  <si>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</si>
  <si>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</si>
  <si>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</si>
  <si>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</si>
  <si>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</si>
  <si>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</si>
  <si>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</si>
  <si>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</si>
  <si>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</si>
  <si>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</si>
  <si>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</si>
  <si>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</si>
  <si>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</si>
  <si>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</si>
  <si>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</si>
  <si>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</si>
  <si>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</si>
  <si>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</si>
  <si>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</si>
  <si>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</si>
  <si>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</si>
  <si>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</si>
  <si>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</si>
  <si>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</si>
  <si>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</si>
  <si>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</si>
  <si>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</si>
  <si>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</si>
  <si>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</si>
  <si>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</si>
  <si>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</si>
  <si>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</si>
  <si>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</si>
  <si>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</si>
  <si>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</si>
  <si>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</si>
  <si>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</si>
  <si>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</si>
  <si>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</si>
  <si>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</si>
  <si>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</si>
  <si>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</si>
  <si>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</si>
  <si>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</si>
  <si>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</si>
  <si>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</si>
  <si>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</si>
  <si>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</si>
  <si>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</si>
  <si>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</si>
  <si>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</si>
  <si>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</si>
  <si>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</si>
  <si>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</si>
  <si>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</si>
  <si>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</si>
  <si>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</si>
  <si>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</si>
  <si>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</si>
  <si>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</si>
  <si>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</si>
  <si>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</si>
  <si>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</si>
  <si>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</si>
  <si>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</si>
  <si>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</si>
  <si>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</si>
  <si>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</si>
  <si>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</si>
  <si>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</si>
  <si>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</si>
  <si>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</si>
  <si>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</si>
  <si>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</si>
  <si>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</si>
  <si>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</si>
  <si>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</si>
  <si>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</si>
  <si>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</si>
  <si>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</si>
  <si>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</si>
  <si>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</si>
  <si>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</si>
  <si>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</si>
  <si>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</si>
  <si>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</si>
  <si>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</si>
  <si>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</si>
  <si>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</si>
  <si>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</si>
  <si>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</si>
  <si>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</si>
  <si>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</si>
  <si>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</si>
  <si>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</si>
  <si>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</si>
  <si>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</si>
  <si>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</si>
  <si>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</si>
  <si>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</si>
  <si>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</si>
  <si>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</si>
  <si>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</si>
  <si>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</si>
  <si>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</si>
  <si>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</si>
  <si>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</si>
  <si>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</si>
  <si>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</si>
  <si>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</si>
  <si>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</si>
  <si>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</si>
  <si>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</si>
  <si>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</si>
  <si>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</si>
  <si>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</si>
  <si>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</si>
  <si>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</si>
  <si>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</si>
  <si>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</si>
  <si>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</si>
  <si>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</si>
  <si>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</si>
  <si>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</si>
  <si>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</si>
  <si>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</si>
  <si>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</si>
  <si>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</si>
  <si>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</si>
  <si>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</si>
  <si>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</si>
  <si>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</si>
  <si>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</si>
  <si>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</si>
  <si>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</si>
  <si>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</si>
  <si>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</si>
  <si>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</si>
  <si>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</si>
  <si>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</si>
  <si>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</si>
  <si>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</si>
  <si>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</si>
  <si>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</si>
  <si>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</si>
  <si>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</si>
  <si>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</si>
  <si>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</si>
  <si>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</si>
  <si>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</si>
  <si>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</si>
  <si>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</si>
  <si>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</si>
  <si>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</si>
  <si>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</si>
  <si>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</si>
  <si>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</si>
  <si>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</si>
  <si>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</si>
  <si>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</si>
  <si>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</si>
  <si>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</si>
  <si>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</si>
  <si>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</si>
  <si>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</si>
  <si>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</si>
  <si>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</si>
  <si>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</si>
  <si>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</si>
  <si>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</si>
  <si>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</si>
  <si>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</si>
  <si>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</si>
  <si>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</si>
  <si>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</si>
  <si>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</si>
  <si>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</si>
  <si>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</si>
  <si>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</si>
  <si>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</si>
  <si>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</si>
  <si>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</si>
  <si>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</si>
  <si>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</si>
  <si>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</si>
  <si>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</si>
  <si>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</si>
  <si>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</si>
  <si>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</si>
  <si>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</si>
  <si>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</si>
  <si>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</si>
  <si>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</si>
  <si>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</si>
  <si>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</si>
  <si>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</si>
  <si>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</si>
  <si>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</si>
  <si>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</si>
  <si>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</si>
  <si>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</si>
  <si>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</si>
  <si>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</si>
  <si>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</si>
  <si>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</si>
  <si>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</si>
  <si>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</si>
  <si>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</si>
  <si>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</si>
  <si>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</si>
  <si>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</si>
  <si>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</si>
  <si>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</si>
  <si>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</si>
  <si>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</si>
  <si>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</si>
  <si>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</si>
  <si>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</si>
  <si>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</si>
  <si>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</si>
  <si>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</si>
  <si>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</si>
  <si>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</si>
  <si>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</si>
  <si>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</si>
  <si>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</si>
  <si>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</si>
  <si>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</si>
  <si>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</si>
  <si>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</si>
  <si>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</si>
  <si>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</si>
  <si>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</si>
  <si>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</si>
  <si>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</si>
  <si>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</si>
  <si>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</si>
  <si>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</si>
  <si>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</si>
  <si>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</si>
  <si>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</si>
  <si>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</si>
  <si>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</si>
  <si>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</si>
  <si>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</si>
  <si>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</si>
  <si>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</si>
  <si>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</si>
  <si>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</si>
  <si>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</si>
  <si>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</si>
  <si>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</si>
  <si>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</si>
  <si>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</si>
  <si>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</si>
  <si>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</si>
  <si>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</si>
  <si>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</si>
  <si>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</si>
  <si>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</si>
  <si>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</si>
  <si>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</si>
  <si>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</si>
  <si>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</si>
  <si>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</si>
  <si>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</si>
  <si>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</si>
  <si>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</si>
  <si>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</si>
  <si>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</si>
  <si>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</si>
  <si>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</si>
  <si>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</si>
  <si>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</si>
  <si>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</si>
  <si>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</si>
  <si>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</si>
  <si>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</si>
  <si>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</si>
  <si>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</si>
  <si>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</si>
  <si>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</si>
  <si>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</si>
  <si>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</si>
  <si>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</si>
  <si>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</si>
  <si>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</si>
  <si>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</si>
  <si>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</si>
  <si>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</si>
  <si>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</si>
  <si>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</si>
  <si>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</si>
  <si>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</si>
  <si>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</si>
  <si>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</si>
  <si>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</si>
  <si>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</si>
  <si>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</si>
  <si>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</si>
  <si>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</si>
  <si>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</si>
  <si>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</si>
  <si>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</si>
  <si>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</si>
  <si>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</si>
  <si>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</si>
  <si>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</si>
  <si>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</si>
  <si>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</si>
  <si>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</si>
  <si>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</si>
  <si>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</si>
  <si>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</si>
  <si>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</si>
  <si>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</si>
  <si>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</si>
  <si>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</si>
  <si>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</si>
  <si>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</si>
  <si>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</si>
  <si>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</si>
  <si>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</si>
  <si>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</si>
  <si>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</si>
  <si>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</si>
  <si>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</si>
  <si>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</si>
  <si>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</si>
  <si>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</si>
  <si>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</si>
  <si>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</si>
  <si>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</si>
  <si>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</si>
  <si>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</si>
  <si>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</si>
  <si>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</si>
  <si>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</si>
  <si>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</si>
  <si>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</si>
  <si>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</si>
  <si>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</si>
  <si>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</si>
  <si>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</si>
  <si>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</si>
  <si>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</si>
  <si>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</si>
  <si>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</si>
  <si>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</si>
  <si>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</si>
  <si>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</si>
  <si>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</si>
  <si>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</si>
  <si>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</si>
  <si>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</si>
  <si>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</si>
  <si>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</si>
  <si>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</si>
  <si>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</si>
  <si>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</si>
  <si>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</si>
  <si>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</si>
  <si>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</si>
  <si>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</si>
  <si>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</si>
  <si>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</si>
  <si>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</si>
  <si>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</si>
  <si>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</si>
  <si>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</si>
  <si>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</si>
  <si>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</si>
  <si>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</si>
  <si>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</si>
  <si>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</si>
  <si>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</si>
  <si>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</si>
  <si>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</si>
  <si>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</si>
  <si>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</si>
  <si>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</si>
  <si>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</si>
  <si>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</si>
  <si>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</si>
  <si>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</si>
  <si>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</si>
  <si>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</si>
  <si>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</si>
  <si>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</si>
  <si>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</si>
  <si>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</si>
  <si>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</si>
  <si>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</si>
  <si>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</si>
  <si>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</si>
  <si>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</si>
  <si>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</si>
  <si>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</si>
  <si>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</si>
  <si>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</si>
  <si>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</si>
  <si>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</si>
  <si>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</si>
  <si>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</si>
  <si>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</si>
  <si>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</si>
  <si>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</si>
  <si>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</si>
  <si>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</si>
  <si>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</si>
  <si>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</si>
  <si>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</si>
  <si>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</si>
  <si>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</si>
  <si>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</si>
  <si>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</si>
  <si>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</si>
  <si>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</si>
  <si>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</si>
  <si>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</si>
  <si>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</si>
  <si>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</si>
  <si>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</si>
  <si>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</si>
  <si>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</si>
  <si>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</si>
  <si>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</si>
  <si>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</si>
  <si>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</si>
  <si>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</si>
  <si>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</si>
  <si>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</si>
  <si>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</si>
  <si>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</si>
  <si>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</si>
  <si>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</si>
  <si>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</si>
  <si>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</si>
  <si>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</si>
  <si>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</si>
  <si>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</si>
  <si>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</si>
  <si>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</si>
  <si>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</si>
  <si>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</si>
  <si>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</si>
  <si>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</si>
  <si>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</si>
  <si>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</si>
  <si>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</si>
  <si>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</si>
  <si>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</si>
  <si>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</si>
  <si>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</si>
  <si>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</si>
  <si>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</si>
  <si>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</si>
  <si>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</si>
  <si>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</si>
  <si>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</si>
  <si>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</si>
  <si>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</si>
  <si>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</si>
  <si>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</si>
  <si>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</si>
  <si>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</si>
  <si>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</si>
  <si>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</si>
  <si>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</si>
  <si>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</si>
  <si>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</si>
  <si>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</si>
  <si>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</si>
  <si>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PACIFIC TRANSFORMER CORP</t>
  </si>
  <si>
    <t xml:space="preserve">MANUFACTURER OF TRANSFORMERS AND INDUCTORS </t>
  </si>
  <si>
    <t>05-875-0654(3A1)</t>
  </si>
  <si>
    <t>DUNS</t>
  </si>
  <si>
    <t>5399 E. HUNTER AVE, ANAHEIM, CA, 91709, USA</t>
  </si>
  <si>
    <t>SEAN MCDOUGALL</t>
  </si>
  <si>
    <t>SEAN@PACTRAN.COM</t>
  </si>
  <si>
    <t>714-779-0450</t>
  </si>
  <si>
    <t>Justin Richardson</t>
  </si>
  <si>
    <t>CFO - OWNER</t>
  </si>
  <si>
    <t>Justin@PACTRAN.COM</t>
  </si>
  <si>
    <t>714-928-0844</t>
  </si>
  <si>
    <t>https://www.pactran.com/quality-assurance</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</si>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</sst>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4" fillId="33" borderId="58" xfId="487" applyNumberFormat="1" applyFont="1" applyFill="1" applyBorder="1" applyAlignment="1" applyProtection="1">
      <alignment horizontal="left" vertical="center" wrapText="1"/>
      <protection locked="0"/>
    </xf>
    <xf numFmtId="0" fontId="82"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65">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xmlns=""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xmlns=""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xmlns=""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PACTRA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actran.com/quality-assurance" TargetMode="External"/><Relationship Id="rId4" Type="http://schemas.openxmlformats.org/officeDocument/2006/relationships/hyperlink" Target="mailto:Justin@PACTRA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1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0" zoomScalePageLayoutView="70" workbookViewId="0">
      <selection activeCell="D81" sqref="D81:E8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6.2">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3" t="str">
        <f ca="1">OFFSET(L!$C$1,MATCH("Declaration"&amp;ADDRESS(ROW(),COLUMN(),4)&amp;LEFT($D$9,1),L!$A:$A,0)-1,SL,,)</f>
        <v>Description of Scope:</v>
      </c>
      <c r="C10" s="119"/>
      <c r="D10" s="354" t="s">
        <v>15880</v>
      </c>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6.2">
      <c r="A11" s="35"/>
      <c r="B11" s="364"/>
      <c r="C11" s="119"/>
      <c r="D11" s="369" t="str">
        <f ca="1">IF(D9=Q9,OFFSET(L!$C$1,MATCH("Declaration"&amp;ADDRESS(ROW(),COLUMN(),4),L!$A:$A,0)-1,SL,,),"")</f>
        <v/>
      </c>
      <c r="E11" s="370"/>
      <c r="F11" s="370"/>
      <c r="G11" s="370"/>
      <c r="H11" s="370"/>
      <c r="I11" s="370"/>
      <c r="J11" s="371"/>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0" t="s">
        <v>15881</v>
      </c>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0" t="s">
        <v>15882</v>
      </c>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0" t="s">
        <v>15883</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0" t="s">
        <v>15884</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98" t="s">
        <v>15885</v>
      </c>
      <c r="E16" s="365"/>
      <c r="F16" s="365"/>
      <c r="G16" s="365"/>
      <c r="H16" s="365"/>
      <c r="I16" s="365"/>
      <c r="J16" s="366"/>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0" t="s">
        <v>15886</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2" t="s">
        <v>15887</v>
      </c>
      <c r="E18" s="383"/>
      <c r="F18" s="383"/>
      <c r="G18" s="383"/>
      <c r="H18" s="383"/>
      <c r="I18" s="383"/>
      <c r="J18" s="384"/>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0" t="s">
        <v>15888</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98" t="s">
        <v>15889</v>
      </c>
      <c r="E20" s="365"/>
      <c r="F20" s="365"/>
      <c r="G20" s="365"/>
      <c r="H20" s="365"/>
      <c r="I20" s="365"/>
      <c r="J20" s="366"/>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t="s">
        <v>15890</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46182</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4"/>
      <c r="E23" s="37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3"/>
      <c r="I37" s="373"/>
      <c r="J37" s="373"/>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67"/>
      <c r="E56" s="368"/>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7" t="s">
        <v>2370</v>
      </c>
      <c r="E57" s="368"/>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 xml:space="preserve">Gold  </v>
      </c>
      <c r="C58" s="32"/>
      <c r="D58" s="367"/>
      <c r="E58" s="368"/>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7"/>
      <c r="E59" s="368"/>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2"/>
      <c r="I61" s="372"/>
      <c r="J61" s="372"/>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2" t="str">
        <f>IF(Q75="(*)","Click here to enter smelter names","")</f>
        <v/>
      </c>
      <c r="I67" s="372"/>
      <c r="J67" s="372"/>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5" t="str">
        <f ca="1">OFFSET(L!$C$1,MATCH("Declaration"&amp;ADDRESS(ROW(),COLUMN(),4),L!$A:$A,0)-1,SL,,)</f>
        <v>Answer the Following Questions at a Company Level</v>
      </c>
      <c r="C73" s="385"/>
      <c r="D73" s="385"/>
      <c r="E73" s="385"/>
      <c r="F73" s="385"/>
      <c r="G73" s="385"/>
      <c r="H73" s="385"/>
      <c r="I73" s="385"/>
      <c r="J73" s="385"/>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0"/>
      <c r="H76" s="380"/>
      <c r="I76" s="380"/>
      <c r="J76" s="380"/>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99" t="s">
        <v>15891</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8" t="s">
        <v>473</v>
      </c>
      <c r="E85" s="379"/>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0"/>
      <c r="H86" s="380"/>
      <c r="I86" s="380"/>
      <c r="J86" s="380"/>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1"/>
      <c r="H88" s="381"/>
      <c r="I88" s="381"/>
      <c r="J88" s="381"/>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7" t="str">
        <f>IF(OR($D$8="",$I$3=""),"","Click here to check required fields completion")</f>
        <v/>
      </c>
      <c r="C90" s="377"/>
      <c r="D90" s="377"/>
      <c r="E90" s="377"/>
      <c r="F90" s="377"/>
      <c r="G90" s="377"/>
      <c r="H90" s="377"/>
      <c r="I90" s="377"/>
      <c r="J90" s="377"/>
      <c r="K90" s="33"/>
      <c r="L90" s="97"/>
      <c r="P90" s="2"/>
      <c r="Q90" s="2"/>
      <c r="R90" s="2"/>
      <c r="S90" s="2"/>
      <c r="T90" s="2"/>
      <c r="U90" s="2"/>
      <c r="V90" s="2"/>
      <c r="W90" s="2"/>
      <c r="X90" s="2"/>
      <c r="Y90" s="2"/>
      <c r="Z90" s="2"/>
      <c r="AA90" s="2"/>
      <c r="AB90" s="2"/>
      <c r="AC90" s="2"/>
      <c r="AD90" s="2"/>
      <c r="AE90" s="2"/>
      <c r="AF90" s="2"/>
      <c r="AG90" s="2"/>
      <c r="AH90" s="2"/>
    </row>
    <row r="91" spans="1:34" ht="16.8" thickBot="1">
      <c r="A91" s="375" t="str">
        <f ca="1">OFFSET(L!$C$1,MATCH("General"&amp;"Cpy",L!$A:$A,0)-1,SL,,)</f>
        <v>© 2026 Responsible Minerals Initiative. All rights reserved.</v>
      </c>
      <c r="B91" s="376"/>
      <c r="C91" s="376"/>
      <c r="D91" s="376"/>
      <c r="E91" s="376"/>
      <c r="F91" s="376"/>
      <c r="G91" s="376"/>
      <c r="H91" s="376"/>
      <c r="I91" s="376"/>
      <c r="J91" s="376"/>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64" priority="168" stopIfTrue="1">
      <formula>IF($D$22="",TRUE)</formula>
    </cfRule>
  </conditionalFormatting>
  <conditionalFormatting sqref="D26:E26">
    <cfRule type="expression" dxfId="163" priority="146" stopIfTrue="1">
      <formula>IF($D$26="",TRUE)</formula>
    </cfRule>
  </conditionalFormatting>
  <conditionalFormatting sqref="D27:E27">
    <cfRule type="expression" dxfId="162" priority="153" stopIfTrue="1">
      <formula>IF($D$27="",TRUE)</formula>
    </cfRule>
  </conditionalFormatting>
  <conditionalFormatting sqref="D28:E28">
    <cfRule type="expression" dxfId="161" priority="154" stopIfTrue="1">
      <formula>IF($D$28="",TRUE)</formula>
    </cfRule>
  </conditionalFormatting>
  <conditionalFormatting sqref="D29:E29">
    <cfRule type="expression" dxfId="160" priority="155" stopIfTrue="1">
      <formula>IF($D$29="",TRUE)</formula>
    </cfRule>
  </conditionalFormatting>
  <conditionalFormatting sqref="D32:E32">
    <cfRule type="expression" dxfId="159" priority="64" stopIfTrue="1">
      <formula>IF(AND(OR($D$26="Yes",$D$26=""),$D$32=""),1,0)</formula>
    </cfRule>
    <cfRule type="expression" dxfId="158" priority="151" stopIfTrue="1">
      <formula>$P$26=""</formula>
    </cfRule>
  </conditionalFormatting>
  <conditionalFormatting sqref="D33:E33">
    <cfRule type="expression" dxfId="157" priority="52" stopIfTrue="1">
      <formula>$P$27=""</formula>
    </cfRule>
    <cfRule type="expression" dxfId="156" priority="51" stopIfTrue="1">
      <formula>IF(AND(OR($D$27="Yes",$D$27=""),$D$33=""),1,0)</formula>
    </cfRule>
  </conditionalFormatting>
  <conditionalFormatting sqref="D34:E34">
    <cfRule type="expression" dxfId="155" priority="10" stopIfTrue="1">
      <formula>IF(AND(OR($D$28="Yes",$D$28=""),$D$34=""),1,0)</formula>
    </cfRule>
    <cfRule type="expression" dxfId="154" priority="11" stopIfTrue="1">
      <formula>$P$28=""</formula>
    </cfRule>
  </conditionalFormatting>
  <conditionalFormatting sqref="D35:E35">
    <cfRule type="expression" dxfId="153" priority="48" stopIfTrue="1">
      <formula>IF(AND(OR($D$29="Yes",$D$29=""),$D$35=""),1,0)</formula>
    </cfRule>
    <cfRule type="expression" dxfId="152" priority="172" stopIfTrue="1">
      <formula>$P$29=""</formula>
    </cfRule>
  </conditionalFormatting>
  <conditionalFormatting sqref="D38:E38 D44:E44 D50:E50 D56:E56 D62:E62 D68:E68">
    <cfRule type="expression" dxfId="151" priority="27" stopIfTrue="1">
      <formula>$P$26=""</formula>
    </cfRule>
    <cfRule type="expression" dxfId="150" priority="28" stopIfTrue="1">
      <formula>$P$32=""</formula>
    </cfRule>
  </conditionalFormatting>
  <conditionalFormatting sqref="D38:E38">
    <cfRule type="expression" dxfId="149" priority="63" stopIfTrue="1">
      <formula>IF(AND(OR($D$26="Yes",$D$26=""),OR($D$32="Yes",$D$32=""),D38=""),1,0)</formula>
    </cfRule>
  </conditionalFormatting>
  <conditionalFormatting sqref="D39:E39 D45:E45 D51:E51 D57:E57 D63:E63 D69:E69">
    <cfRule type="expression" dxfId="148" priority="21" stopIfTrue="1">
      <formula>$P$33=""</formula>
    </cfRule>
    <cfRule type="expression" dxfId="147" priority="22" stopIfTrue="1">
      <formula>$P$39=""</formula>
    </cfRule>
  </conditionalFormatting>
  <conditionalFormatting sqref="D39:E39">
    <cfRule type="expression" dxfId="146" priority="59" stopIfTrue="1">
      <formula>IF(AND(OR($D$27="Yes",$D$27=""),OR($D$33="Yes",$D$33=""),D39=""),1,0)</formula>
    </cfRule>
  </conditionalFormatting>
  <conditionalFormatting sqref="D40:E40 D46:E46 D52:E52 D58:E58 D64:E64 D70:E70">
    <cfRule type="expression" dxfId="145" priority="16" stopIfTrue="1">
      <formula>$P$28=""</formula>
    </cfRule>
    <cfRule type="expression" dxfId="144" priority="17" stopIfTrue="1">
      <formula>$P$34=""</formula>
    </cfRule>
  </conditionalFormatting>
  <conditionalFormatting sqref="D40:E40">
    <cfRule type="expression" dxfId="143" priority="58" stopIfTrue="1">
      <formula>IF(AND(OR($D$28="Yes",$D$28=""),OR($D$34="Yes",$D$34=""),D40=""),1,0)</formula>
    </cfRule>
  </conditionalFormatting>
  <conditionalFormatting sqref="D41:E41 D47:E47 D53:E53 D59:E59 D65:E65 D71:E71">
    <cfRule type="expression" dxfId="142" priority="12" stopIfTrue="1">
      <formula>$P$29=""</formula>
    </cfRule>
    <cfRule type="expression" dxfId="141" priority="13" stopIfTrue="1">
      <formula>$P$35=""</formula>
    </cfRule>
  </conditionalFormatting>
  <conditionalFormatting sqref="D41:E41">
    <cfRule type="expression" dxfId="140" priority="174" stopIfTrue="1">
      <formula>IF(AND(OR($D$29="Yes",$D$29=""),OR($D$35="Yes",$D$35=""),D41=""),1,0)</formula>
    </cfRule>
  </conditionalFormatting>
  <conditionalFormatting sqref="D44:E44">
    <cfRule type="expression" dxfId="139" priority="62" stopIfTrue="1">
      <formula>IF(AND(OR($D$26="Yes",$D$26=""),OR($D$32="Yes",$D$32=""),D44=""),1,0)</formula>
    </cfRule>
  </conditionalFormatting>
  <conditionalFormatting sqref="D45:E45">
    <cfRule type="expression" dxfId="138" priority="24" stopIfTrue="1">
      <formula>IF(AND(OR($D$27="Yes",$D$27=""),OR($D$33="Yes",$D$33=""),D45=""),1,0)</formula>
    </cfRule>
  </conditionalFormatting>
  <conditionalFormatting sqref="D46:E46">
    <cfRule type="expression" dxfId="137" priority="49" stopIfTrue="1">
      <formula>IF(AND(OR($D$28="Yes",$D$28=""),OR($D$34="Yes",$D$34=""),D46=""),1,0)</formula>
    </cfRule>
  </conditionalFormatting>
  <conditionalFormatting sqref="D47:E47">
    <cfRule type="expression" dxfId="136" priority="57" stopIfTrue="1">
      <formula>IF(AND(OR($D$29="Yes",$D$29=""),OR($D$35="Yes",$D$35=""),D47=""),1,0)</formula>
    </cfRule>
  </conditionalFormatting>
  <conditionalFormatting sqref="D50:E50">
    <cfRule type="expression" dxfId="135" priority="30" stopIfTrue="1">
      <formula>IF(AND(OR($D$26="Yes",$D$26=""),OR($D$32="Yes",$D$32=""),D50=""),1,0)</formula>
    </cfRule>
  </conditionalFormatting>
  <conditionalFormatting sqref="D51:E51">
    <cfRule type="expression" dxfId="134" priority="169" stopIfTrue="1">
      <formula>IF(AND(OR($D$27="Yes",$D$27=""),OR($D$33="Yes",$D$33=""),D51=""),1,0)</formula>
    </cfRule>
  </conditionalFormatting>
  <conditionalFormatting sqref="D52:E52">
    <cfRule type="expression" dxfId="133" priority="20" stopIfTrue="1">
      <formula>IF(AND(OR($D$28="Yes",$D$28=""),OR($D$34="Yes",$D$34=""),D52=""),1,0)</formula>
    </cfRule>
  </conditionalFormatting>
  <conditionalFormatting sqref="D53:E53">
    <cfRule type="expression" dxfId="132" priority="43" stopIfTrue="1">
      <formula>IF(AND(OR($D$29="Yes",$D$29=""),OR($D$35="Yes",$D$35=""),D53=""),1,0)</formula>
    </cfRule>
  </conditionalFormatting>
  <conditionalFormatting sqref="D56:E56">
    <cfRule type="expression" dxfId="131" priority="38" stopIfTrue="1">
      <formula>IF(AND(OR($D$26="Yes",$D$26=""),OR($D$32="Yes",$D$32=""),D56=""),1,0)</formula>
    </cfRule>
  </conditionalFormatting>
  <conditionalFormatting sqref="D57:E57">
    <cfRule type="expression" dxfId="130" priority="26" stopIfTrue="1">
      <formula>IF(AND(OR($D$27="Yes",$D$27=""),OR($D$33="Yes",$D$33=""),D57=""),1,0)</formula>
    </cfRule>
  </conditionalFormatting>
  <conditionalFormatting sqref="D58:E58">
    <cfRule type="expression" dxfId="129" priority="19" stopIfTrue="1">
      <formula>IF(AND(OR($D$28="Yes",$D$28=""),OR($D$34="Yes",$D$34=""),D58=""),1,0)</formula>
    </cfRule>
  </conditionalFormatting>
  <conditionalFormatting sqref="D59:E59">
    <cfRule type="expression" dxfId="128" priority="15" stopIfTrue="1">
      <formula>IF(AND(OR($D$29="Yes",$D$29=""),OR($D$35="Yes",$D$35=""),D59=""),1,0)</formula>
    </cfRule>
  </conditionalFormatting>
  <conditionalFormatting sqref="D62:E62">
    <cfRule type="expression" dxfId="127" priority="37" stopIfTrue="1">
      <formula>IF(AND(OR($D$26="Yes",$D$26=""),OR($D$32="Yes",$D$32=""),D62=""),1,0)</formula>
    </cfRule>
  </conditionalFormatting>
  <conditionalFormatting sqref="D63:E63">
    <cfRule type="expression" dxfId="126" priority="23" stopIfTrue="1">
      <formula>IF(AND(OR($D$27="Yes",$D$27=""),OR($D$33="Yes",$D$33=""),D63=""),1,0)</formula>
    </cfRule>
  </conditionalFormatting>
  <conditionalFormatting sqref="D64:E64">
    <cfRule type="expression" dxfId="125" priority="18" stopIfTrue="1">
      <formula>IF(AND(OR($D$28="Yes",$D$28=""),OR($D$34="Yes",$D$34=""),D64=""),1,0)</formula>
    </cfRule>
  </conditionalFormatting>
  <conditionalFormatting sqref="D65:E65">
    <cfRule type="expression" dxfId="124" priority="14" stopIfTrue="1">
      <formula>IF(AND(OR($D$29="Yes",$D$29=""),OR($D$35="Yes",$D$35=""),D65=""),1,0)</formula>
    </cfRule>
  </conditionalFormatting>
  <conditionalFormatting sqref="D68:E68">
    <cfRule type="expression" dxfId="123" priority="29" stopIfTrue="1">
      <formula>IF(AND(OR($D$26="Yes",$D$26=""),OR($D$32="Yes",$D$32=""),D68=""),1,0)</formula>
    </cfRule>
  </conditionalFormatting>
  <conditionalFormatting sqref="D69:E69">
    <cfRule type="expression" dxfId="122" priority="25" stopIfTrue="1">
      <formula>IF(AND(OR($D$27="Yes",$D$27=""),OR($D$33="Yes",$D$33=""),D69=""),1,0)</formula>
    </cfRule>
  </conditionalFormatting>
  <conditionalFormatting sqref="D70:E70">
    <cfRule type="expression" dxfId="121" priority="171" stopIfTrue="1">
      <formula>IF(AND(OR($D$28="Yes",$D$28=""),OR($D$34="Yes",$D$34=""),D70=""),1,0)</formula>
    </cfRule>
  </conditionalFormatting>
  <conditionalFormatting sqref="D71:E71">
    <cfRule type="expression" dxfId="120" priority="173" stopIfTrue="1">
      <formula>IF(AND(OR($D$29="Yes",$D$29=""),OR($D$35="Yes",$D$35=""),D71=""),1,0)</formula>
    </cfRule>
  </conditionalFormatting>
  <conditionalFormatting sqref="D75:E75 D77:E77 D79:E79 D81:E81 D83 D85:E85 D87:E87 D89:E89">
    <cfRule type="expression" dxfId="119" priority="94" stopIfTrue="1">
      <formula>AND(OR($D$26="No",AND($D$26="Yes",$D$32="No")),OR($D$27="No",AND($D$27="Yes",$D$33="No")),OR($D$28="No",AND($D$28="Yes",$D$34="No")),OR($D$29="No",AND($D$29="Yes",$D$35="No")))</formula>
    </cfRule>
    <cfRule type="expression" dxfId="118" priority="95" stopIfTrue="1">
      <formula>IF(D75="",TRUE)</formula>
    </cfRule>
  </conditionalFormatting>
  <conditionalFormatting sqref="D9:G9">
    <cfRule type="expression" dxfId="117" priority="161" stopIfTrue="1">
      <formula>IF($D$9="",TRUE)</formula>
    </cfRule>
  </conditionalFormatting>
  <conditionalFormatting sqref="G85:J85">
    <cfRule type="expression" dxfId="107" priority="56" stopIfTrue="1">
      <formula>IF(AND($D$85="Yes, using other format (describe)",$G$85=""),TRUE)</formula>
    </cfRule>
  </conditionalFormatting>
  <conditionalFormatting sqref="D8:J8">
    <cfRule type="expression" dxfId="89" priority="9" stopIfTrue="1">
      <formula>IF($D$8="",TRUE)</formula>
    </cfRule>
  </conditionalFormatting>
  <conditionalFormatting sqref="D10:J10">
    <cfRule type="expression" dxfId="87" priority="7" stopIfTrue="1">
      <formula>IF($D$9=$Q$9,TRUE)</formula>
    </cfRule>
    <cfRule type="expression" dxfId="86" priority="8" stopIfTrue="1">
      <formula>IF(AND($D$10="",$D$9=$R$9),TRUE)</formula>
    </cfRule>
  </conditionalFormatting>
  <conditionalFormatting sqref="D15:J15">
    <cfRule type="expression" dxfId="83" priority="4" stopIfTrue="1">
      <formula>IF($D$15="",TRUE)</formula>
    </cfRule>
  </conditionalFormatting>
  <conditionalFormatting sqref="D16:J16">
    <cfRule type="expression" dxfId="81" priority="5" stopIfTrue="1">
      <formula>IF($D$16="",TRUE)</formula>
    </cfRule>
  </conditionalFormatting>
  <conditionalFormatting sqref="D17:J17">
    <cfRule type="expression" dxfId="79" priority="2" stopIfTrue="1">
      <formula>IF($D$17="",TRUE)</formula>
    </cfRule>
  </conditionalFormatting>
  <conditionalFormatting sqref="D18:J18">
    <cfRule type="expression" dxfId="77" priority="6" stopIfTrue="1">
      <formula>IF($D$18="",TRUE)</formula>
    </cfRule>
  </conditionalFormatting>
  <conditionalFormatting sqref="D20:J20">
    <cfRule type="expression" dxfId="75" priority="3" stopIfTrue="1">
      <formula>IF($D$20="",TRUE)</formula>
    </cfRule>
  </conditionalFormatting>
  <conditionalFormatting sqref="G77:J77">
    <cfRule type="expression" dxfId="73"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Normal="100" zoomScalePageLayoutView="55" workbookViewId="0">
      <selection activeCell="C25" sqref="C2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6" t="str">
        <f ca="1">OFFSET(L!$C$1,MATCH("Smelter List"&amp;ADDRESS(ROW(),COLUMN(),4),L!$A:$A,0)-1,SL,,)</f>
        <v>Link to "RMAP Conformant Smelter List"</v>
      </c>
      <c r="K2" s="387"/>
      <c r="L2" s="387"/>
      <c r="M2" s="387"/>
      <c r="N2" s="387"/>
      <c r="O2" s="387"/>
      <c r="P2" s="179"/>
      <c r="Q2" s="180"/>
      <c r="R2" s="181"/>
      <c r="S2" s="181"/>
      <c r="T2" s="181"/>
      <c r="AH2" s="140" t="s">
        <v>473</v>
      </c>
    </row>
    <row r="3" spans="1:34" s="204" customFormat="1" ht="177" customHeight="1">
      <c r="A3" s="155"/>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05"/>
      <c r="G3" s="389" t="str">
        <f ca="1">OFFSET(L!$C$1,MATCH("General"&amp;"Cpy",L!$A:$A,0)-1,SL,,)</f>
        <v>© 2026 Responsible Minerals Initiative. All rights reserved.</v>
      </c>
      <c r="H3" s="389"/>
      <c r="I3" s="390"/>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2073</v>
      </c>
      <c r="D5" s="213"/>
      <c r="E5" s="166" t="str">
        <f ca="1">IF(ISERROR($V5),"",OFFSET('Smelter Look-up'!$D$4,$V5-4,0)&amp;"")</f>
        <v>CHINA</v>
      </c>
      <c r="F5" s="166" t="str">
        <f ca="1">IF(ISERROR($V5),"",OFFSET('Smelter Look-up'!$E$4,$V5-4,0))</f>
        <v>CID002158</v>
      </c>
      <c r="G5" s="166" t="str">
        <f ca="1">IF(C5=$X$4,IF(ISERROR($V5),"Enter smelter details","RMI"),IF(ISERROR($V5),"",OFFSET('Smelter Look-up'!$F$4,$V5-4,0)))</f>
        <v>RMI</v>
      </c>
      <c r="H5" s="167">
        <f ca="1">IF(ISERROR($V5),"",OFFSET('Smelter Look-up'!$G$4,$V5-4,0))</f>
        <v>0</v>
      </c>
      <c r="I5" s="168" t="str">
        <f ca="1">IF(ISERROR($V5),"",OFFSET('Smelter Look-up'!$H$4,$V5-4,0))</f>
        <v>Gejiu</v>
      </c>
      <c r="J5" s="168" t="str">
        <f ca="1">IF(ISERROR($V5),"",OFFSET('Smelter Look-up'!$I$4,$V5-4,0))</f>
        <v>Yunnan Sheng</v>
      </c>
      <c r="K5" s="207"/>
      <c r="L5" s="207"/>
      <c r="M5" s="207"/>
      <c r="N5" s="207"/>
      <c r="O5" s="207"/>
      <c r="P5" s="169"/>
      <c r="Q5" s="208"/>
      <c r="R5" s="166" t="str">
        <f ca="1">IF(ISERROR($V5),"",OFFSET('Smelter Look-up'!$C$4,$V5-4,0)&amp;"")</f>
        <v>Yunnan Chengfeng Non-ferrous Metals Co., Ltd.</v>
      </c>
      <c r="S5" s="165" t="str">
        <f ca="1">IF(B5="","",IF(ISERROR(MATCH($E5,CL,0)),"Unknown",INDIRECT("'C'!$A$"&amp;MATCH($E5,CL,0)+1)))</f>
        <v>CN</v>
      </c>
      <c r="T5" s="165" t="str">
        <f ca="1">IF(B5="","",IF(ISERROR(MATCH($J5,SorP!$B$1:$B$6261,0)),"",INDIRECT("'SorP'!$A$"&amp;MATCH($S5&amp;$J5,SorP!C:C,0))))</f>
        <v>CN-YN</v>
      </c>
      <c r="U5" s="185"/>
      <c r="V5" s="209">
        <f>IF(C5="",NA(),IF(OR(C5="Smelter not listed",C5="Smelter not yet identified"),MATCH($B5&amp;$D5,'Smelter Look-up'!$J:$J,0),MATCH($B5&amp;$C5,'Smelter Look-up'!$J:$J,0)))</f>
        <v>560</v>
      </c>
      <c r="X5" s="210">
        <f t="shared" ref="X5" ca="1" si="0">IF(AND(C5="Smelter not listed",OR(LEN(D5)=0,LEN(E5)=0)),1,0)</f>
        <v>0</v>
      </c>
      <c r="AB5" s="211" t="str">
        <f t="shared" ref="AB5" si="1">B5&amp;C5</f>
        <v>TinYunnan Chengfeng Non-ferrous Metals Co., Ltd.</v>
      </c>
    </row>
    <row r="6" spans="1:34" s="210" customFormat="1" ht="20.100000000000001" customHeight="1">
      <c r="A6" s="245"/>
      <c r="B6" s="166" t="s">
        <v>1088</v>
      </c>
      <c r="C6" s="170" t="s">
        <v>1698</v>
      </c>
      <c r="D6" s="213"/>
      <c r="E6" s="166" t="str">
        <f ca="1">IF(ISERROR($V6),"",OFFSET('Smelter Look-up'!$D$4,$V6-4,0)&amp;"")</f>
        <v>CHINA</v>
      </c>
      <c r="F6" s="166" t="str">
        <f ca="1">IF(ISERROR($V6),"",OFFSET('Smelter Look-up'!$E$4,$V6-4,0))</f>
        <v>CID001070</v>
      </c>
      <c r="G6" s="166" t="str">
        <f ca="1">IF(C6=$X$4,IF(ISERROR($V6),"Enter smelter details","RMI"),IF(ISERROR($V6),"",OFFSET('Smelter Look-up'!$F$4,$V6-4,0)))</f>
        <v>RMI</v>
      </c>
      <c r="H6" s="167">
        <f ca="1">IF(ISERROR($V6),"",OFFSET('Smelter Look-up'!$G$4,$V6-4,0))</f>
        <v>0</v>
      </c>
      <c r="I6" s="168" t="str">
        <f ca="1">IF(ISERROR($V6),"",OFFSET('Smelter Look-up'!$H$4,$V6-4,0))</f>
        <v>Laibin</v>
      </c>
      <c r="J6" s="168" t="str">
        <f ca="1">IF(ISERROR($V6),"",OFFSET('Smelter Look-up'!$I$4,$V6-4,0))</f>
        <v>Guangxi Zhuangzu Zizhiqu</v>
      </c>
      <c r="K6" s="207"/>
      <c r="L6" s="207"/>
      <c r="M6" s="207"/>
      <c r="N6" s="207"/>
      <c r="O6" s="207"/>
      <c r="P6" s="169"/>
      <c r="Q6" s="208"/>
      <c r="R6" s="166" t="str">
        <f ca="1">IF(ISERROR($V6),"",OFFSET('Smelter Look-up'!$C$4,$V6-4,0)&amp;"")</f>
        <v>China Tin Group Co., Ltd.</v>
      </c>
      <c r="S6" s="165" t="str">
        <f t="shared" ref="S6:S37" ca="1" si="2">IF(B6="","",IF(ISERROR(MATCH($E6,CL,0)),"Unknown",INDIRECT("'C'!$A$"&amp;MATCH($E6,CL,0)+1)))</f>
        <v>CN</v>
      </c>
      <c r="T6" s="165" t="str">
        <f ca="1">IF(B6="","",IF(ISERROR(MATCH($J6,SorP!$B$1:$B$6261,0)),"",INDIRECT("'SorP'!$A$"&amp;MATCH($S6&amp;$J6,SorP!C:C,0))))</f>
        <v>CN-GX</v>
      </c>
      <c r="U6" s="185"/>
      <c r="V6" s="209">
        <f>IF(C6="",NA(),IF(OR(C6="Smelter not listed",C6="Smelter not yet identified"),MATCH($B6&amp;$D6,'Smelter Look-up'!$J:$J,0),MATCH($B6&amp;$C6,'Smelter Look-up'!$J:$J,0)))</f>
        <v>555</v>
      </c>
      <c r="X6" s="210">
        <f t="shared" ref="X6:X37" ca="1" si="3">IF(AND(C6="Smelter not listed",OR(LEN(D6)=0,LEN(E6)=0)),1,0)</f>
        <v>0</v>
      </c>
      <c r="AB6" s="211" t="str">
        <f t="shared" ref="AB6:AB37" si="4">B6&amp;C6</f>
        <v>TinXiHai - Liuzhou China Tin Group Co ltd</v>
      </c>
    </row>
    <row r="7" spans="1:34" s="210" customFormat="1" ht="20.100000000000001" customHeight="1">
      <c r="A7" s="245"/>
      <c r="B7" s="166" t="s">
        <v>1088</v>
      </c>
      <c r="C7" s="170" t="s">
        <v>15186</v>
      </c>
      <c r="D7" s="213"/>
      <c r="E7" s="166" t="str">
        <f ca="1">IF(ISERROR($V7),"",OFFSET('Smelter Look-up'!$D$4,$V7-4,0)&amp;"")</f>
        <v>MALAYSIA</v>
      </c>
      <c r="F7" s="166" t="str">
        <f ca="1">IF(ISERROR($V7),"",OFFSET('Smelter Look-up'!$E$4,$V7-4,0))</f>
        <v>CID004434</v>
      </c>
      <c r="G7" s="166" t="str">
        <f ca="1">IF(C7=$X$4,IF(ISERROR($V7),"Enter smelter details","RMI"),IF(ISERROR($V7),"",OFFSET('Smelter Look-up'!$F$4,$V7-4,0)))</f>
        <v>RMI</v>
      </c>
      <c r="H7" s="167">
        <f ca="1">IF(ISERROR($V7),"",OFFSET('Smelter Look-up'!$G$4,$V7-4,0))</f>
        <v>0</v>
      </c>
      <c r="I7" s="168" t="str">
        <f ca="1">IF(ISERROR($V7),"",OFFSET('Smelter Look-up'!$H$4,$V7-4,0))</f>
        <v>Port Klang</v>
      </c>
      <c r="J7" s="168" t="str">
        <f ca="1">IF(ISERROR($V7),"",OFFSET('Smelter Look-up'!$I$4,$V7-4,0))</f>
        <v>Selangor</v>
      </c>
      <c r="K7" s="207"/>
      <c r="L7" s="207"/>
      <c r="M7" s="207"/>
      <c r="N7" s="207"/>
      <c r="O7" s="207"/>
      <c r="P7" s="169"/>
      <c r="Q7" s="208"/>
      <c r="R7" s="166" t="str">
        <f ca="1">IF(ISERROR($V7),"",OFFSET('Smelter Look-up'!$C$4,$V7-4,0)&amp;"")</f>
        <v>Malaysia Smelting Corporation Berhad (Port Klang)</v>
      </c>
      <c r="S7" s="165" t="str">
        <f t="shared" ca="1" si="2"/>
        <v>MY</v>
      </c>
      <c r="T7" s="165" t="str">
        <f ca="1">IF(B7="","",IF(ISERROR(MATCH($J7,SorP!$B$1:$B$6261,0)),"",INDIRECT("'SorP'!$A$"&amp;MATCH($S7&amp;$J7,SorP!C:C,0))))</f>
        <v>MY-10</v>
      </c>
      <c r="U7" s="185"/>
      <c r="V7" s="209">
        <f>IF(C7="",NA(),IF(OR(C7="Smelter not listed",C7="Smelter not yet identified"),MATCH($B7&amp;$D7,'Smelter Look-up'!$J:$J,0),MATCH($B7&amp;$C7,'Smelter Look-up'!$J:$J,0)))</f>
        <v>491</v>
      </c>
      <c r="X7" s="210">
        <f t="shared" ca="1" si="3"/>
        <v>0</v>
      </c>
      <c r="AB7" s="211" t="str">
        <f t="shared" si="4"/>
        <v>TinMalaysia Smelting Corporation Berhad (Port Klang)</v>
      </c>
    </row>
    <row r="8" spans="1:34" s="210" customFormat="1" ht="20.100000000000001" customHeight="1">
      <c r="A8" s="245"/>
      <c r="B8" s="166" t="s">
        <v>1088</v>
      </c>
      <c r="C8" s="170" t="s">
        <v>2235</v>
      </c>
      <c r="D8" s="213"/>
      <c r="E8" s="166" t="str">
        <f ca="1">IF(ISERROR($V8),"",OFFSET('Smelter Look-up'!$D$4,$V8-4,0)&amp;"")</f>
        <v>CHINA</v>
      </c>
      <c r="F8" s="166" t="str">
        <f ca="1">IF(ISERROR($V8),"",OFFSET('Smelter Look-up'!$E$4,$V8-4,0))</f>
        <v>CID002180</v>
      </c>
      <c r="G8" s="166" t="str">
        <f ca="1">IF(C8=$X$4,IF(ISERROR($V8),"Enter smelter details","RMI"),IF(ISERROR($V8),"",OFFSET('Smelter Look-up'!$F$4,$V8-4,0)))</f>
        <v>RMI</v>
      </c>
      <c r="H8" s="167">
        <f ca="1">IF(ISERROR($V8),"",OFFSET('Smelter Look-up'!$G$4,$V8-4,0))</f>
        <v>0</v>
      </c>
      <c r="I8" s="168" t="str">
        <f ca="1">IF(ISERROR($V8),"",OFFSET('Smelter Look-up'!$H$4,$V8-4,0))</f>
        <v>Gejiu</v>
      </c>
      <c r="J8" s="168" t="str">
        <f ca="1">IF(ISERROR($V8),"",OFFSET('Smelter Look-up'!$I$4,$V8-4,0))</f>
        <v>Yunnan Sheng</v>
      </c>
      <c r="K8" s="207"/>
      <c r="L8" s="207"/>
      <c r="M8" s="207"/>
      <c r="N8" s="207"/>
      <c r="O8" s="207"/>
      <c r="P8" s="169"/>
      <c r="Q8" s="208"/>
      <c r="R8" s="166" t="str">
        <f ca="1">IF(ISERROR($V8),"",OFFSET('Smelter Look-up'!$C$4,$V8-4,0)&amp;"")</f>
        <v>Tin Smelting Branch of Yunnan Tin Co., Ltd.</v>
      </c>
      <c r="S8" s="165" t="str">
        <f t="shared" ca="1" si="2"/>
        <v>CN</v>
      </c>
      <c r="T8" s="165" t="str">
        <f ca="1">IF(B8="","",IF(ISERROR(MATCH($J8,SorP!$B$1:$B$6261,0)),"",INDIRECT("'SorP'!$A$"&amp;MATCH($S8&amp;$J8,SorP!C:C,0))))</f>
        <v>CN-YN</v>
      </c>
      <c r="U8" s="185"/>
      <c r="V8" s="209">
        <f>IF(C8="",NA(),IF(OR(C8="Smelter not listed",C8="Smelter not yet identified"),MATCH($B8&amp;$D8,'Smelter Look-up'!$J:$J,0),MATCH($B8&amp;$C8,'Smelter Look-up'!$J:$J,0)))</f>
        <v>564</v>
      </c>
      <c r="X8" s="210">
        <f t="shared" ca="1" si="3"/>
        <v>0</v>
      </c>
      <c r="AB8" s="211" t="str">
        <f t="shared" si="4"/>
        <v>TinYunnan Tin Company Limited</v>
      </c>
    </row>
    <row r="9" spans="1:34" s="210" customFormat="1" ht="20.100000000000001" customHeight="1">
      <c r="A9" s="245"/>
      <c r="B9" s="166" t="s">
        <v>1088</v>
      </c>
      <c r="C9" s="170" t="s">
        <v>48</v>
      </c>
      <c r="D9" s="213"/>
      <c r="E9" s="166" t="str">
        <f ca="1">IF(ISERROR($V9),"",OFFSET('Smelter Look-up'!$D$4,$V9-4,0)&amp;"")</f>
        <v>CHINA</v>
      </c>
      <c r="F9" s="166" t="str">
        <f ca="1">IF(ISERROR($V9),"",OFFSET('Smelter Look-up'!$E$4,$V9-4,0))</f>
        <v>CID002180</v>
      </c>
      <c r="G9" s="166" t="str">
        <f ca="1">IF(C9=$X$4,IF(ISERROR($V9),"Enter smelter details","RMI"),IF(ISERROR($V9),"",OFFSET('Smelter Look-up'!$F$4,$V9-4,0)))</f>
        <v>RMI</v>
      </c>
      <c r="H9" s="167">
        <f ca="1">IF(ISERROR($V9),"",OFFSET('Smelter Look-up'!$G$4,$V9-4,0))</f>
        <v>0</v>
      </c>
      <c r="I9" s="168" t="str">
        <f ca="1">IF(ISERROR($V9),"",OFFSET('Smelter Look-up'!$H$4,$V9-4,0))</f>
        <v>Gejiu</v>
      </c>
      <c r="J9" s="168" t="str">
        <f ca="1">IF(ISERROR($V9),"",OFFSET('Smelter Look-up'!$I$4,$V9-4,0))</f>
        <v>Yunnan Sheng</v>
      </c>
      <c r="K9" s="207"/>
      <c r="L9" s="207"/>
      <c r="M9" s="207"/>
      <c r="N9" s="207"/>
      <c r="O9" s="207"/>
      <c r="P9" s="169"/>
      <c r="Q9" s="208"/>
      <c r="R9" s="166" t="str">
        <f ca="1">IF(ISERROR($V9),"",OFFSET('Smelter Look-up'!$C$4,$V9-4,0)&amp;"")</f>
        <v>Tin Smelting Branch of Yunnan Tin Co., Ltd.</v>
      </c>
      <c r="S9" s="165" t="str">
        <f t="shared" ca="1" si="2"/>
        <v>CN</v>
      </c>
      <c r="T9" s="165" t="str">
        <f ca="1">IF(B9="","",IF(ISERROR(MATCH($J9,SorP!$B$1:$B$6261,0)),"",INDIRECT("'SorP'!$A$"&amp;MATCH($S9&amp;$J9,SorP!C:C,0))))</f>
        <v>CN-YN</v>
      </c>
      <c r="U9" s="185"/>
      <c r="V9" s="209">
        <f>IF(C9="",NA(),IF(OR(C9="Smelter not listed",C9="Smelter not yet identified"),MATCH($B9&amp;$D9,'Smelter Look-up'!$J:$J,0),MATCH($B9&amp;$C9,'Smelter Look-up'!$J:$J,0)))</f>
        <v>565</v>
      </c>
      <c r="X9" s="210">
        <f t="shared" ca="1" si="3"/>
        <v>0</v>
      </c>
      <c r="AB9" s="211" t="str">
        <f t="shared" si="4"/>
        <v>TinYunnan Tin Company, Ltd.</v>
      </c>
    </row>
    <row r="10" spans="1:34" s="210" customFormat="1" ht="20.100000000000001" customHeight="1">
      <c r="A10" s="245"/>
      <c r="B10" s="166" t="s">
        <v>1088</v>
      </c>
      <c r="C10" s="170" t="s">
        <v>14898</v>
      </c>
      <c r="D10" s="213"/>
      <c r="E10" s="166" t="str">
        <f ca="1">IF(ISERROR($V10),"",OFFSET('Smelter Look-up'!$D$4,$V10-4,0)&amp;"")</f>
        <v>BELGIUM</v>
      </c>
      <c r="F10" s="166" t="str">
        <f ca="1">IF(ISERROR($V10),"",OFFSET('Smelter Look-up'!$E$4,$V10-4,0))</f>
        <v>CID002773</v>
      </c>
      <c r="G10" s="166" t="str">
        <f ca="1">IF(C10=$X$4,IF(ISERROR($V10),"Enter smelter details","RMI"),IF(ISERROR($V10),"",OFFSET('Smelter Look-up'!$F$4,$V10-4,0)))</f>
        <v>RMI</v>
      </c>
      <c r="H10" s="167">
        <f ca="1">IF(ISERROR($V10),"",OFFSET('Smelter Look-up'!$G$4,$V10-4,0))</f>
        <v>0</v>
      </c>
      <c r="I10" s="168" t="str">
        <f ca="1">IF(ISERROR($V10),"",OFFSET('Smelter Look-up'!$H$4,$V10-4,0))</f>
        <v>Beerse</v>
      </c>
      <c r="J10" s="168" t="str">
        <f ca="1">IF(ISERROR($V10),"",OFFSET('Smelter Look-up'!$I$4,$V10-4,0))</f>
        <v>Antwerpen</v>
      </c>
      <c r="K10" s="207"/>
      <c r="L10" s="207"/>
      <c r="M10" s="207"/>
      <c r="N10" s="207"/>
      <c r="O10" s="207"/>
      <c r="P10" s="169"/>
      <c r="Q10" s="208"/>
      <c r="R10" s="166" t="str">
        <f ca="1">IF(ISERROR($V10),"",OFFSET('Smelter Look-up'!$C$4,$V10-4,0)&amp;"")</f>
        <v>Aurubis Beerse</v>
      </c>
      <c r="S10" s="165" t="str">
        <f t="shared" ca="1" si="2"/>
        <v>BE</v>
      </c>
      <c r="T10" s="165" t="str">
        <f ca="1">IF(B10="","",IF(ISERROR(MATCH($J10,SorP!$B$1:$B$6261,0)),"",INDIRECT("'SorP'!$A$"&amp;MATCH($S10&amp;$J10,SorP!C:C,0))))</f>
        <v>BE-VAN</v>
      </c>
      <c r="U10" s="185"/>
      <c r="V10" s="209">
        <f>IF(C10="",NA(),IF(OR(C10="Smelter not listed",C10="Smelter not yet identified"),MATCH($B10&amp;$D10,'Smelter Look-up'!$J:$J,0),MATCH($B10&amp;$C10,'Smelter Look-up'!$J:$J,0)))</f>
        <v>423</v>
      </c>
      <c r="X10" s="210">
        <f t="shared" ca="1" si="3"/>
        <v>0</v>
      </c>
      <c r="AB10" s="211" t="str">
        <f t="shared" si="4"/>
        <v>TinAurubis Beerse</v>
      </c>
    </row>
    <row r="11" spans="1:34" s="210" customFormat="1" ht="20.100000000000001" customHeight="1">
      <c r="A11" s="245"/>
      <c r="B11" s="166" t="s">
        <v>1088</v>
      </c>
      <c r="C11" s="170" t="s">
        <v>2053</v>
      </c>
      <c r="D11" s="213"/>
      <c r="E11" s="166" t="str">
        <f ca="1">IF(ISERROR($V11),"",OFFSET('Smelter Look-up'!$D$4,$V11-4,0)&amp;"")</f>
        <v>CHINA</v>
      </c>
      <c r="F11" s="166" t="str">
        <f ca="1">IF(ISERROR($V11),"",OFFSET('Smelter Look-up'!$E$4,$V11-4,0))</f>
        <v>CID000538</v>
      </c>
      <c r="G11" s="166" t="str">
        <f ca="1">IF(C11=$X$4,IF(ISERROR($V11),"Enter smelter details","RMI"),IF(ISERROR($V11),"",OFFSET('Smelter Look-up'!$F$4,$V11-4,0)))</f>
        <v>RMI</v>
      </c>
      <c r="H11" s="167">
        <f ca="1">IF(ISERROR($V11),"",OFFSET('Smelter Look-up'!$G$4,$V11-4,0))</f>
        <v>0</v>
      </c>
      <c r="I11" s="168" t="str">
        <f ca="1">IF(ISERROR($V11),"",OFFSET('Smelter Look-up'!$H$4,$V11-4,0))</f>
        <v>Gejiu</v>
      </c>
      <c r="J11" s="168" t="str">
        <f ca="1">IF(ISERROR($V11),"",OFFSET('Smelter Look-up'!$I$4,$V11-4,0))</f>
        <v>Yunnan Sheng</v>
      </c>
      <c r="K11" s="207"/>
      <c r="L11" s="207"/>
      <c r="M11" s="207"/>
      <c r="N11" s="207"/>
      <c r="O11" s="207"/>
      <c r="P11" s="169"/>
      <c r="Q11" s="208"/>
      <c r="R11" s="166" t="str">
        <f ca="1">IF(ISERROR($V11),"",OFFSET('Smelter Look-up'!$C$4,$V11-4,0)&amp;"")</f>
        <v>Gejiu Non-Ferrous Metal Processing Co., Ltd.</v>
      </c>
      <c r="S11" s="165" t="str">
        <f t="shared" ca="1" si="2"/>
        <v>CN</v>
      </c>
      <c r="T11" s="165" t="str">
        <f ca="1">IF(B11="","",IF(ISERROR(MATCH($J11,SorP!$B$1:$B$6261,0)),"",INDIRECT("'SorP'!$A$"&amp;MATCH($S11&amp;$J11,SorP!C:C,0))))</f>
        <v>CN-YN</v>
      </c>
      <c r="U11" s="185"/>
      <c r="V11" s="209">
        <f>IF(C11="",NA(),IF(OR(C11="Smelter not listed",C11="Smelter not yet identified"),MATCH($B11&amp;$D11,'Smelter Look-up'!$J:$J,0),MATCH($B11&amp;$C11,'Smelter Look-up'!$J:$J,0)))</f>
        <v>468</v>
      </c>
      <c r="X11" s="210">
        <f t="shared" ca="1" si="3"/>
        <v>0</v>
      </c>
      <c r="AB11" s="211" t="str">
        <f t="shared" si="4"/>
        <v>TinGejiu Non-Ferrous Metal Processing Co., Ltd.</v>
      </c>
    </row>
    <row r="12" spans="1:34" s="210" customFormat="1" ht="20.100000000000001" customHeight="1">
      <c r="A12" s="245"/>
      <c r="B12" s="166" t="s">
        <v>1088</v>
      </c>
      <c r="C12" s="170" t="s">
        <v>15186</v>
      </c>
      <c r="D12" s="213"/>
      <c r="E12" s="166" t="str">
        <f ca="1">IF(ISERROR($V12),"",OFFSET('Smelter Look-up'!$D$4,$V12-4,0)&amp;"")</f>
        <v>MALAYSIA</v>
      </c>
      <c r="F12" s="166" t="str">
        <f ca="1">IF(ISERROR($V12),"",OFFSET('Smelter Look-up'!$E$4,$V12-4,0))</f>
        <v>CID004434</v>
      </c>
      <c r="G12" s="166" t="str">
        <f ca="1">IF(C12=$X$4,IF(ISERROR($V12),"Enter smelter details","RMI"),IF(ISERROR($V12),"",OFFSET('Smelter Look-up'!$F$4,$V12-4,0)))</f>
        <v>RMI</v>
      </c>
      <c r="H12" s="167">
        <f ca="1">IF(ISERROR($V12),"",OFFSET('Smelter Look-up'!$G$4,$V12-4,0))</f>
        <v>0</v>
      </c>
      <c r="I12" s="168" t="str">
        <f ca="1">IF(ISERROR($V12),"",OFFSET('Smelter Look-up'!$H$4,$V12-4,0))</f>
        <v>Port Klang</v>
      </c>
      <c r="J12" s="168" t="str">
        <f ca="1">IF(ISERROR($V12),"",OFFSET('Smelter Look-up'!$I$4,$V12-4,0))</f>
        <v>Selangor</v>
      </c>
      <c r="K12" s="207"/>
      <c r="L12" s="207"/>
      <c r="M12" s="207"/>
      <c r="N12" s="207"/>
      <c r="O12" s="207"/>
      <c r="P12" s="169"/>
      <c r="Q12" s="208"/>
      <c r="R12" s="166" t="str">
        <f ca="1">IF(ISERROR($V12),"",OFFSET('Smelter Look-up'!$C$4,$V12-4,0)&amp;"")</f>
        <v>Malaysia Smelting Corporation Berhad (Port Klang)</v>
      </c>
      <c r="S12" s="165" t="str">
        <f t="shared" ca="1" si="2"/>
        <v>MY</v>
      </c>
      <c r="T12" s="165" t="str">
        <f ca="1">IF(B12="","",IF(ISERROR(MATCH($J12,SorP!$B$1:$B$6261,0)),"",INDIRECT("'SorP'!$A$"&amp;MATCH($S12&amp;$J12,SorP!C:C,0))))</f>
        <v>MY-10</v>
      </c>
      <c r="U12" s="185"/>
      <c r="V12" s="209">
        <f>IF(C12="",NA(),IF(OR(C12="Smelter not listed",C12="Smelter not yet identified"),MATCH($B12&amp;$D12,'Smelter Look-up'!$J:$J,0),MATCH($B12&amp;$C12,'Smelter Look-up'!$J:$J,0)))</f>
        <v>491</v>
      </c>
      <c r="X12" s="210">
        <f t="shared" ca="1" si="3"/>
        <v>0</v>
      </c>
      <c r="AB12" s="211" t="str">
        <f t="shared" si="4"/>
        <v>TinMalaysia Smelting Corporation Berhad (Port Klang)</v>
      </c>
    </row>
    <row r="13" spans="1:34" s="210" customFormat="1" ht="20.100000000000001" customHeight="1">
      <c r="A13" s="245"/>
      <c r="B13" s="166" t="s">
        <v>1088</v>
      </c>
      <c r="C13" s="170" t="s">
        <v>992</v>
      </c>
      <c r="D13" s="213"/>
      <c r="E13" s="166" t="str">
        <f ca="1">IF(ISERROR($V13),"",OFFSET('Smelter Look-up'!$D$4,$V13-4,0)&amp;"")</f>
        <v>PERU</v>
      </c>
      <c r="F13" s="166" t="str">
        <f ca="1">IF(ISERROR($V13),"",OFFSET('Smelter Look-up'!$E$4,$V13-4,0))</f>
        <v>CID001182</v>
      </c>
      <c r="G13" s="166" t="str">
        <f ca="1">IF(C13=$X$4,IF(ISERROR($V13),"Enter smelter details","RMI"),IF(ISERROR($V13),"",OFFSET('Smelter Look-up'!$F$4,$V13-4,0)))</f>
        <v>RMI</v>
      </c>
      <c r="H13" s="167">
        <f ca="1">IF(ISERROR($V13),"",OFFSET('Smelter Look-up'!$G$4,$V13-4,0))</f>
        <v>0</v>
      </c>
      <c r="I13" s="168" t="str">
        <f ca="1">IF(ISERROR($V13),"",OFFSET('Smelter Look-up'!$H$4,$V13-4,0))</f>
        <v>Paracas</v>
      </c>
      <c r="J13" s="168" t="str">
        <f ca="1">IF(ISERROR($V13),"",OFFSET('Smelter Look-up'!$I$4,$V13-4,0))</f>
        <v>Ika</v>
      </c>
      <c r="K13" s="207"/>
      <c r="L13" s="207"/>
      <c r="M13" s="207"/>
      <c r="N13" s="207"/>
      <c r="O13" s="207"/>
      <c r="P13" s="169"/>
      <c r="Q13" s="208"/>
      <c r="R13" s="166" t="str">
        <f ca="1">IF(ISERROR($V13),"",OFFSET('Smelter Look-up'!$C$4,$V13-4,0)&amp;"")</f>
        <v>Minsur</v>
      </c>
      <c r="S13" s="165" t="str">
        <f t="shared" ca="1" si="2"/>
        <v>PE</v>
      </c>
      <c r="T13" s="165" t="str">
        <f ca="1">IF(B13="","",IF(ISERROR(MATCH($J13,SorP!$B$1:$B$6261,0)),"",INDIRECT("'SorP'!$A$"&amp;MATCH($S13&amp;$J13,SorP!C:C,0))))</f>
        <v>PE-ICA</v>
      </c>
      <c r="U13" s="185"/>
      <c r="V13" s="209">
        <f>IF(C13="",NA(),IF(OR(C13="Smelter not listed",C13="Smelter not yet identified"),MATCH($B13&amp;$D13,'Smelter Look-up'!$J:$J,0),MATCH($B13&amp;$C13,'Smelter Look-up'!$J:$J,0)))</f>
        <v>503</v>
      </c>
      <c r="X13" s="210">
        <f t="shared" ca="1" si="3"/>
        <v>0</v>
      </c>
      <c r="AB13" s="211" t="str">
        <f t="shared" si="4"/>
        <v>TinMinsur</v>
      </c>
    </row>
    <row r="14" spans="1:34" s="210" customFormat="1" ht="20.100000000000001" customHeight="1">
      <c r="A14" s="245"/>
      <c r="B14" s="166" t="s">
        <v>1088</v>
      </c>
      <c r="C14" s="170" t="s">
        <v>13290</v>
      </c>
      <c r="D14" s="213"/>
      <c r="E14" s="166" t="str">
        <f ca="1">IF(ISERROR($V14),"",OFFSET('Smelter Look-up'!$D$4,$V14-4,0)&amp;"")</f>
        <v>BOLIVIA (PLURINATIONAL STATE OF)</v>
      </c>
      <c r="F14" s="166" t="str">
        <f ca="1">IF(ISERROR($V14),"",OFFSET('Smelter Look-up'!$E$4,$V14-4,0))</f>
        <v>CID001337</v>
      </c>
      <c r="G14" s="166" t="str">
        <f ca="1">IF(C14=$X$4,IF(ISERROR($V14),"Enter smelter details","RMI"),IF(ISERROR($V14),"",OFFSET('Smelter Look-up'!$F$4,$V14-4,0)))</f>
        <v>RMI</v>
      </c>
      <c r="H14" s="167">
        <f ca="1">IF(ISERROR($V14),"",OFFSET('Smelter Look-up'!$G$4,$V14-4,0))</f>
        <v>0</v>
      </c>
      <c r="I14" s="168" t="str">
        <f ca="1">IF(ISERROR($V14),"",OFFSET('Smelter Look-up'!$H$4,$V14-4,0))</f>
        <v>Oruro</v>
      </c>
      <c r="J14" s="168" t="str">
        <f ca="1">IF(ISERROR($V14),"",OFFSET('Smelter Look-up'!$I$4,$V14-4,0))</f>
        <v>Oruro</v>
      </c>
      <c r="K14" s="207"/>
      <c r="L14" s="207"/>
      <c r="M14" s="207"/>
      <c r="N14" s="207"/>
      <c r="O14" s="207"/>
      <c r="P14" s="169"/>
      <c r="Q14" s="208"/>
      <c r="R14" s="166" t="str">
        <f ca="1">IF(ISERROR($V14),"",OFFSET('Smelter Look-up'!$C$4,$V14-4,0)&amp;"")</f>
        <v>Operaciones Metalurgicas S.A.</v>
      </c>
      <c r="S14" s="165" t="str">
        <f t="shared" ca="1" si="2"/>
        <v>Unknown</v>
      </c>
      <c r="T14" s="165" t="e">
        <f ca="1">IF(B14="","",IF(ISERROR(MATCH($J14,SorP!$B$1:$B$6261,0)),"",INDIRECT("'SorP'!$A$"&amp;MATCH($S14&amp;$J14,SorP!C:C,0))))</f>
        <v>#N/A</v>
      </c>
      <c r="U14" s="185"/>
      <c r="V14" s="209">
        <f>IF(C14="",NA(),IF(OR(C14="Smelter not listed",C14="Smelter not yet identified"),MATCH($B14&amp;$D14,'Smelter Look-up'!$J:$J,0),MATCH($B14&amp;$C14,'Smelter Look-up'!$J:$J,0)))</f>
        <v>514</v>
      </c>
      <c r="X14" s="210">
        <f t="shared" ca="1" si="3"/>
        <v>0</v>
      </c>
      <c r="AB14" s="211" t="str">
        <f t="shared" si="4"/>
        <v>TinOperaciones Metalurgicas S.A.</v>
      </c>
    </row>
    <row r="15" spans="1:34" s="210" customFormat="1" ht="20.100000000000001" customHeight="1">
      <c r="A15" s="245"/>
      <c r="B15" s="166" t="s">
        <v>1088</v>
      </c>
      <c r="C15" s="170" t="s">
        <v>13289</v>
      </c>
      <c r="D15" s="213"/>
      <c r="E15" s="166" t="str">
        <f ca="1">IF(ISERROR($V15),"",OFFSET('Smelter Look-up'!$D$4,$V15-4,0)&amp;"")</f>
        <v>INDONESIA</v>
      </c>
      <c r="F15" s="166" t="str">
        <f ca="1">IF(ISERROR($V15),"",OFFSET('Smelter Look-up'!$E$4,$V15-4,0))</f>
        <v>CID001477</v>
      </c>
      <c r="G15" s="166" t="str">
        <f ca="1">IF(C15=$X$4,IF(ISERROR($V15),"Enter smelter details","RMI"),IF(ISERROR($V15),"",OFFSET('Smelter Look-up'!$F$4,$V15-4,0)))</f>
        <v>RMI</v>
      </c>
      <c r="H15" s="167">
        <f ca="1">IF(ISERROR($V15),"",OFFSET('Smelter Look-up'!$G$4,$V15-4,0))</f>
        <v>0</v>
      </c>
      <c r="I15" s="168" t="str">
        <f ca="1">IF(ISERROR($V15),"",OFFSET('Smelter Look-up'!$H$4,$V15-4,0))</f>
        <v>Kundur</v>
      </c>
      <c r="J15" s="168" t="str">
        <f ca="1">IF(ISERROR($V15),"",OFFSET('Smelter Look-up'!$I$4,$V15-4,0))</f>
        <v>Riau</v>
      </c>
      <c r="K15" s="207"/>
      <c r="L15" s="207"/>
      <c r="M15" s="207"/>
      <c r="N15" s="207"/>
      <c r="O15" s="207"/>
      <c r="P15" s="169"/>
      <c r="Q15" s="208"/>
      <c r="R15" s="166" t="str">
        <f ca="1">IF(ISERROR($V15),"",OFFSET('Smelter Look-up'!$C$4,$V15-4,0)&amp;"")</f>
        <v>PT Timah Tbk Kundur</v>
      </c>
      <c r="S15" s="165" t="str">
        <f t="shared" ca="1" si="2"/>
        <v>ID</v>
      </c>
      <c r="T15" s="165" t="str">
        <f ca="1">IF(B15="","",IF(ISERROR(MATCH($J15,SorP!$B$1:$B$6261,0)),"",INDIRECT("'SorP'!$A$"&amp;MATCH($S15&amp;$J15,SorP!C:C,0))))</f>
        <v>ID-RI</v>
      </c>
      <c r="U15" s="185"/>
      <c r="V15" s="209">
        <f>IF(C15="",NA(),IF(OR(C15="Smelter not listed",C15="Smelter not yet identified"),MATCH($B15&amp;$D15,'Smelter Look-up'!$J:$J,0),MATCH($B15&amp;$C15,'Smelter Look-up'!$J:$J,0)))</f>
        <v>531</v>
      </c>
      <c r="X15" s="210">
        <f t="shared" ca="1" si="3"/>
        <v>0</v>
      </c>
      <c r="AB15" s="211" t="str">
        <f t="shared" si="4"/>
        <v>TinPT Timah Tbk Kundur</v>
      </c>
    </row>
    <row r="16" spans="1:34" s="210" customFormat="1" ht="20.100000000000001" customHeight="1">
      <c r="A16" s="245"/>
      <c r="B16" s="166" t="s">
        <v>1088</v>
      </c>
      <c r="C16" s="170" t="s">
        <v>989</v>
      </c>
      <c r="D16" s="213"/>
      <c r="E16" s="166" t="str">
        <f ca="1">IF(ISERROR($V16),"",OFFSET('Smelter Look-up'!$D$4,$V16-4,0)&amp;"")</f>
        <v>THAILAND</v>
      </c>
      <c r="F16" s="166" t="str">
        <f ca="1">IF(ISERROR($V16),"",OFFSET('Smelter Look-up'!$E$4,$V16-4,0))</f>
        <v>CID001898</v>
      </c>
      <c r="G16" s="166" t="str">
        <f ca="1">IF(C16=$X$4,IF(ISERROR($V16),"Enter smelter details","RMI"),IF(ISERROR($V16),"",OFFSET('Smelter Look-up'!$F$4,$V16-4,0)))</f>
        <v>RMI</v>
      </c>
      <c r="H16" s="167">
        <f ca="1">IF(ISERROR($V16),"",OFFSET('Smelter Look-up'!$G$4,$V16-4,0))</f>
        <v>0</v>
      </c>
      <c r="I16" s="168" t="str">
        <f ca="1">IF(ISERROR($V16),"",OFFSET('Smelter Look-up'!$H$4,$V16-4,0))</f>
        <v>Amphur Muang</v>
      </c>
      <c r="J16" s="168" t="str">
        <f ca="1">IF(ISERROR($V16),"",OFFSET('Smelter Look-up'!$I$4,$V16-4,0))</f>
        <v>Phuket</v>
      </c>
      <c r="K16" s="207"/>
      <c r="L16" s="207"/>
      <c r="M16" s="207"/>
      <c r="N16" s="207"/>
      <c r="O16" s="207"/>
      <c r="P16" s="169"/>
      <c r="Q16" s="208"/>
      <c r="R16" s="166" t="str">
        <f ca="1">IF(ISERROR($V16),"",OFFSET('Smelter Look-up'!$C$4,$V16-4,0)&amp;"")</f>
        <v>Thaisarco</v>
      </c>
      <c r="S16" s="165" t="str">
        <f t="shared" ca="1" si="2"/>
        <v>TH</v>
      </c>
      <c r="T16" s="165" t="str">
        <f ca="1">IF(B16="","",IF(ISERROR(MATCH($J16,SorP!$B$1:$B$6261,0)),"",INDIRECT("'SorP'!$A$"&amp;MATCH($S16&amp;$J16,SorP!C:C,0))))</f>
        <v>TH-83</v>
      </c>
      <c r="U16" s="185"/>
      <c r="V16" s="209">
        <f>IF(C16="",NA(),IF(OR(C16="Smelter not listed",C16="Smelter not yet identified"),MATCH($B16&amp;$D16,'Smelter Look-up'!$J:$J,0),MATCH($B16&amp;$C16,'Smelter Look-up'!$J:$J,0)))</f>
        <v>543</v>
      </c>
      <c r="X16" s="210">
        <f t="shared" ca="1" si="3"/>
        <v>0</v>
      </c>
      <c r="AB16" s="211" t="str">
        <f t="shared" si="4"/>
        <v>TinThaisarco</v>
      </c>
    </row>
    <row r="17" spans="1:28" s="210" customFormat="1" ht="20.100000000000001" customHeight="1">
      <c r="A17" s="245"/>
      <c r="B17" s="166" t="s">
        <v>1088</v>
      </c>
      <c r="C17" s="170" t="s">
        <v>47</v>
      </c>
      <c r="D17" s="213"/>
      <c r="E17" s="166" t="str">
        <f ca="1">IF(ISERROR($V17),"",OFFSET('Smelter Look-up'!$D$4,$V17-4,0)&amp;"")</f>
        <v>BRAZIL</v>
      </c>
      <c r="F17" s="166" t="str">
        <f ca="1">IF(ISERROR($V17),"",OFFSET('Smelter Look-up'!$E$4,$V17-4,0))</f>
        <v>CID002036</v>
      </c>
      <c r="G17" s="166" t="str">
        <f ca="1">IF(C17=$X$4,IF(ISERROR($V17),"Enter smelter details","RMI"),IF(ISERROR($V17),"",OFFSET('Smelter Look-up'!$F$4,$V17-4,0)))</f>
        <v>RMI</v>
      </c>
      <c r="H17" s="167">
        <f ca="1">IF(ISERROR($V17),"",OFFSET('Smelter Look-up'!$G$4,$V17-4,0))</f>
        <v>0</v>
      </c>
      <c r="I17" s="168" t="str">
        <f ca="1">IF(ISERROR($V17),"",OFFSET('Smelter Look-up'!$H$4,$V17-4,0))</f>
        <v>Ariquemes</v>
      </c>
      <c r="J17" s="168" t="str">
        <f ca="1">IF(ISERROR($V17),"",OFFSET('Smelter Look-up'!$I$4,$V17-4,0))</f>
        <v>Rondônia</v>
      </c>
      <c r="K17" s="207"/>
      <c r="L17" s="207"/>
      <c r="M17" s="207"/>
      <c r="N17" s="207"/>
      <c r="O17" s="207"/>
      <c r="P17" s="169"/>
      <c r="Q17" s="208"/>
      <c r="R17" s="166" t="str">
        <f ca="1">IF(ISERROR($V17),"",OFFSET('Smelter Look-up'!$C$4,$V17-4,0)&amp;"")</f>
        <v>White Solder Metalurgia e Mineracao Ltda.</v>
      </c>
      <c r="S17" s="165" t="str">
        <f t="shared" ca="1" si="2"/>
        <v>BR</v>
      </c>
      <c r="T17" s="165" t="str">
        <f ca="1">IF(B17="","",IF(ISERROR(MATCH($J17,SorP!$B$1:$B$6261,0)),"",INDIRECT("'SorP'!$A$"&amp;MATCH($S17&amp;$J17,SorP!C:C,0))))</f>
        <v>BR-RO</v>
      </c>
      <c r="U17" s="185"/>
      <c r="V17" s="209">
        <f>IF(C17="",NA(),IF(OR(C17="Smelter not listed",C17="Smelter not yet identified"),MATCH($B17&amp;$D17,'Smelter Look-up'!$J:$J,0),MATCH($B17&amp;$C17,'Smelter Look-up'!$J:$J,0)))</f>
        <v>552</v>
      </c>
      <c r="X17" s="210">
        <f t="shared" ca="1" si="3"/>
        <v>0</v>
      </c>
      <c r="AB17" s="211" t="str">
        <f t="shared" si="4"/>
        <v>TinWhite Solder Metalurgia e Mineração Ltda.</v>
      </c>
    </row>
    <row r="18" spans="1:28" s="210" customFormat="1" ht="20.100000000000001" customHeight="1">
      <c r="A18" s="165"/>
      <c r="B18" s="166" t="s">
        <v>1088</v>
      </c>
      <c r="C18" s="170" t="s">
        <v>12468</v>
      </c>
      <c r="D18" s="213"/>
      <c r="E18" s="166" t="str">
        <f ca="1">IF(ISERROR($V18),"",OFFSET('Smelter Look-up'!$D$4,$V18-4,0)&amp;"")</f>
        <v>BRAZIL</v>
      </c>
      <c r="F18" s="166" t="str">
        <f ca="1">IF(ISERROR($V18),"",OFFSET('Smelter Look-up'!$E$4,$V18-4,0))</f>
        <v>CID001173</v>
      </c>
      <c r="G18" s="166" t="str">
        <f ca="1">IF(C18=$X$4,IF(ISERROR($V18),"Enter smelter details","RMI"),IF(ISERROR($V18),"",OFFSET('Smelter Look-up'!$F$4,$V18-4,0)))</f>
        <v>RMI</v>
      </c>
      <c r="H18" s="167">
        <f ca="1">IF(ISERROR($V18),"",OFFSET('Smelter Look-up'!$G$4,$V18-4,0))</f>
        <v>0</v>
      </c>
      <c r="I18" s="168" t="str">
        <f ca="1">IF(ISERROR($V18),"",OFFSET('Smelter Look-up'!$H$4,$V18-4,0))</f>
        <v>Pirapora de Bom Jesus</v>
      </c>
      <c r="J18" s="168" t="str">
        <f ca="1">IF(ISERROR($V18),"",OFFSET('Smelter Look-up'!$I$4,$V18-4,0))</f>
        <v>São Paulo</v>
      </c>
      <c r="K18" s="207"/>
      <c r="L18" s="207"/>
      <c r="M18" s="207"/>
      <c r="N18" s="207"/>
      <c r="O18" s="207"/>
      <c r="P18" s="169"/>
      <c r="Q18" s="208"/>
      <c r="R18" s="166" t="str">
        <f ca="1">IF(ISERROR($V18),"",OFFSET('Smelter Look-up'!$C$4,$V18-4,0)&amp;"")</f>
        <v>Mineracao Taboca S.A.</v>
      </c>
      <c r="S18" s="165" t="str">
        <f t="shared" ca="1" si="2"/>
        <v>BR</v>
      </c>
      <c r="T18" s="165" t="str">
        <f ca="1">IF(B18="","",IF(ISERROR(MATCH($J18,SorP!$B$1:$B$6261,0)),"",INDIRECT("'SorP'!$A$"&amp;MATCH($S18&amp;$J18,SorP!C:C,0))))</f>
        <v>BR-SP</v>
      </c>
      <c r="U18" s="185"/>
      <c r="V18" s="209">
        <f>IF(C18="",NA(),IF(OR(C18="Smelter not listed",C18="Smelter not yet identified"),MATCH($B18&amp;$D18,'Smelter Look-up'!$J:$J,0),MATCH($B18&amp;$C18,'Smelter Look-up'!$J:$J,0)))</f>
        <v>500</v>
      </c>
      <c r="X18" s="210">
        <f t="shared" ca="1" si="3"/>
        <v>0</v>
      </c>
      <c r="AB18" s="211" t="str">
        <f t="shared" si="4"/>
        <v>TinMineracao Taboca SA</v>
      </c>
    </row>
    <row r="19" spans="1:28" s="210" customFormat="1" ht="20.399999999999999">
      <c r="A19" s="165"/>
      <c r="B19" s="166" t="s">
        <v>1088</v>
      </c>
      <c r="C19" s="170" t="s">
        <v>1713</v>
      </c>
      <c r="D19" s="213"/>
      <c r="E19" s="166" t="str">
        <f ca="1">IF(ISERROR($V19),"",OFFSET('Smelter Look-up'!$D$4,$V19-4,0)&amp;"")</f>
        <v>THAILAND</v>
      </c>
      <c r="F19" s="166" t="str">
        <f ca="1">IF(ISERROR($V19),"",OFFSET('Smelter Look-up'!$E$4,$V19-4,0))</f>
        <v>CID001898</v>
      </c>
      <c r="G19" s="166" t="str">
        <f ca="1">IF(C19=$X$4,IF(ISERROR($V19),"Enter smelter details","RMI"),IF(ISERROR($V19),"",OFFSET('Smelter Look-up'!$F$4,$V19-4,0)))</f>
        <v>RMI</v>
      </c>
      <c r="H19" s="167">
        <f ca="1">IF(ISERROR($V19),"",OFFSET('Smelter Look-up'!$G$4,$V19-4,0))</f>
        <v>0</v>
      </c>
      <c r="I19" s="168" t="str">
        <f ca="1">IF(ISERROR($V19),"",OFFSET('Smelter Look-up'!$H$4,$V19-4,0))</f>
        <v>Amphur Muang</v>
      </c>
      <c r="J19" s="168" t="str">
        <f ca="1">IF(ISERROR($V19),"",OFFSET('Smelter Look-up'!$I$4,$V19-4,0))</f>
        <v>Phuket</v>
      </c>
      <c r="K19" s="207"/>
      <c r="L19" s="207"/>
      <c r="M19" s="207"/>
      <c r="N19" s="207"/>
      <c r="O19" s="207"/>
      <c r="P19" s="169"/>
      <c r="Q19" s="208"/>
      <c r="R19" s="166" t="str">
        <f ca="1">IF(ISERROR($V19),"",OFFSET('Smelter Look-up'!$C$4,$V19-4,0)&amp;"")</f>
        <v>Thaisarco</v>
      </c>
      <c r="S19" s="165" t="str">
        <f t="shared" ca="1" si="2"/>
        <v>TH</v>
      </c>
      <c r="T19" s="165" t="str">
        <f ca="1">IF(B19="","",IF(ISERROR(MATCH($J19,SorP!$B$1:$B$6261,0)),"",INDIRECT("'SorP'!$A$"&amp;MATCH($S19&amp;$J19,SorP!C:C,0))))</f>
        <v>TH-83</v>
      </c>
      <c r="U19" s="185"/>
      <c r="V19" s="209">
        <f>IF(C19="",NA(),IF(OR(C19="Smelter not listed",C19="Smelter not yet identified"),MATCH($B19&amp;$D19,'Smelter Look-up'!$J:$J,0),MATCH($B19&amp;$C19,'Smelter Look-up'!$J:$J,0)))</f>
        <v>542</v>
      </c>
      <c r="X19" s="210">
        <f t="shared" ca="1" si="3"/>
        <v>0</v>
      </c>
      <c r="AB19" s="211" t="str">
        <f t="shared" si="4"/>
        <v>TinThailand Smelting &amp; Refining Co Ltd</v>
      </c>
    </row>
    <row r="20" spans="1:28" s="210" customFormat="1" ht="20.399999999999999">
      <c r="A20" s="165"/>
      <c r="B20" s="166" t="s">
        <v>15892</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399999999999999">
      <c r="A21" s="165"/>
      <c r="B21" s="166" t="s">
        <v>15892</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399999999999999">
      <c r="A22" s="165"/>
      <c r="B22" s="166" t="s">
        <v>15892</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399999999999999">
      <c r="A23" s="165"/>
      <c r="B23" s="166" t="s">
        <v>15892</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
        <v>15892</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06" priority="1" stopIfTrue="1">
      <formula>IF(B5="",TRUE)</formula>
    </cfRule>
    <cfRule type="expression" dxfId="105" priority="2" stopIfTrue="1">
      <formula>IF(AND(COUNTIF(MetalSmelter,B5&amp;C5)=0,LEN(C5)&gt;0),TRUE,FALSE)</formula>
    </cfRule>
  </conditionalFormatting>
  <conditionalFormatting sqref="C5:C2504">
    <cfRule type="expression" dxfId="104" priority="9" stopIfTrue="1">
      <formula>IF(AND(B5&lt;&gt;"",C5=""),TRUE)</formula>
    </cfRule>
  </conditionalFormatting>
  <conditionalFormatting sqref="D5:D2504">
    <cfRule type="expression" dxfId="103" priority="13" stopIfTrue="1">
      <formula>IF(AND(LEN($C5)&gt;0,AND($C5&lt;&gt;"Smelter Not Listed",ISBLANK($D5))),1,0)</formula>
    </cfRule>
    <cfRule type="expression" dxfId="102" priority="20" stopIfTrue="1">
      <formula>IF(AND(D5="",$C5=$X$4),TRUE)</formula>
    </cfRule>
    <cfRule type="expression" dxfId="101" priority="21" stopIfTrue="1">
      <formula>IF(FIND("!",D5),TRUE)</formula>
    </cfRule>
  </conditionalFormatting>
  <conditionalFormatting sqref="E5:E2504 R5:R2504">
    <cfRule type="expression" dxfId="100" priority="7" stopIfTrue="1">
      <formula>IF(AND(E5="",$C5=$X$4),TRUE)</formula>
    </cfRule>
    <cfRule type="expression" dxfId="99" priority="8" stopIfTrue="1">
      <formula>IF(FIND("!",E5),TRUE)</formula>
    </cfRule>
  </conditionalFormatting>
  <conditionalFormatting sqref="F5:F2504">
    <cfRule type="expression" dxfId="98" priority="5" stopIfTrue="1">
      <formula>IF(AND(LEN($A5)&gt;0,$A5&lt;&gt;$F5),TRUE,FALSE)</formula>
    </cfRule>
  </conditionalFormatting>
  <conditionalFormatting sqref="G5:G2504">
    <cfRule type="expression" dxfId="9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PACIFIC TRANSFORMER CORP</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 xml:space="preserve">MANUFACTURER OF TRANSFORMERS AND INDUCTORS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SEAN MCDOUGALL</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SEAN@PACTRAN.COM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714-779-0450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Justin Richardson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Justin@PACTRAN.COM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https://www.pactran.com/quality-assurance</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94" priority="347" stopIfTrue="1">
      <formula>$F4=0</formula>
    </cfRule>
    <cfRule type="expression" dxfId="93" priority="348" stopIfTrue="1">
      <formula>$H4=0</formula>
    </cfRule>
    <cfRule type="expression" dxfId="92" priority="349" stopIfTrue="1">
      <formula>$H4=1</formula>
    </cfRule>
  </conditionalFormatting>
  <conditionalFormatting sqref="B64">
    <cfRule type="expression" dxfId="9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3" t="str">
        <f ca="1">OFFSET(L!$C$1,MATCH("Product List"&amp;ADDRESS(ROW(),COLUMN(),4),L!$A:$A,0)-1,SL,,)</f>
        <v>Completion required only if reporting level "Product (or List of Products)" selected on the 'Declaration' worksheet.</v>
      </c>
      <c r="B1" s="394"/>
      <c r="C1" s="394"/>
      <c r="D1" s="394"/>
      <c r="E1" s="394"/>
      <c r="F1" s="394"/>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2" t="s">
        <v>858</v>
      </c>
      <c r="C4" s="392"/>
      <c r="D4" s="392"/>
      <c r="E4" s="392"/>
      <c r="F4" s="392"/>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5" t="str">
        <f ca="1">OFFSET(L!$C$1,MATCH("General"&amp;"Cpy",L!$A:$A,0)-1,SL,,)</f>
        <v>© 2026 Responsible Minerals Initiative. All rights reserved.</v>
      </c>
      <c r="C2006" s="395"/>
      <c r="D2006" s="395"/>
      <c r="E2006" s="395"/>
      <c r="F2006" s="395"/>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9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Sean McDougall</cp:lastModifiedBy>
  <cp:lastPrinted>2015-04-21T20:47:43Z</cp:lastPrinted>
  <dcterms:created xsi:type="dcterms:W3CDTF">2010-06-21T21:00:23Z</dcterms:created>
  <dcterms:modified xsi:type="dcterms:W3CDTF">2026-06-09T18:45:12Z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